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Citrix Laptop\Documents\Blog\Excel Trading Systems\Option Pain\"/>
    </mc:Choice>
  </mc:AlternateContent>
  <bookViews>
    <workbookView xWindow="0" yWindow="0" windowWidth="25600" windowHeight="10240" activeTab="1"/>
  </bookViews>
  <sheets>
    <sheet name="PAIN Nifty" sheetId="4" r:id="rId1"/>
    <sheet name="PAIN BNF" sheetId="5" r:id="rId2"/>
    <sheet name="Data Nifty" sheetId="2" state="hidden" r:id="rId3"/>
    <sheet name="MAIN OI" sheetId="3" state="hidden" r:id="rId4"/>
    <sheet name="Data BNF" sheetId="6" state="hidden" r:id="rId5"/>
    <sheet name="MAIN OI BNF" sheetId="7" state="hidden" r:id="rId6"/>
  </sheets>
  <definedNames>
    <definedName name="_xlnm._FilterDatabase" localSheetId="3" hidden="1">'MAIN OI'!$E$94:$S$96</definedName>
    <definedName name="optionKeys.jsp?symbolCode__10006_symbol_NIFTY_symbol_NIFTY_instrument___date___segmentLink_17_symbolCount_2_segmentLink_17" localSheetId="2">'Data Nifty'!$C$1:$Y$89</definedName>
    <definedName name="optionKeys.jsp?symbolCode__9999_symbol_BANKNIFTY_symbol_BANKNIFTY_instrument___date___segmentLink_17_symbolCount_2_segmentLink_17" localSheetId="4">'Data BNF'!$C$1:$Y$72</definedName>
  </definedNames>
  <calcPr calcId="171027"/>
</workbook>
</file>

<file path=xl/calcChain.xml><?xml version="1.0" encoding="utf-8"?>
<calcChain xmlns="http://schemas.openxmlformats.org/spreadsheetml/2006/main">
  <c r="B66" i="2" l="1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M4" i="7" l="1"/>
  <c r="D4" i="7"/>
  <c r="T5" i="7"/>
  <c r="S5" i="7"/>
  <c r="R5" i="7"/>
  <c r="R3" i="7"/>
  <c r="T2" i="7"/>
  <c r="A2" i="6"/>
  <c r="L2" i="7" s="1"/>
  <c r="A1" i="6"/>
  <c r="O2" i="7" s="1"/>
  <c r="A4" i="6"/>
  <c r="A5" i="6" s="1"/>
  <c r="L14" i="7" s="1"/>
  <c r="A3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99" i="6"/>
  <c r="A99" i="6"/>
  <c r="B98" i="6"/>
  <c r="A98" i="6"/>
  <c r="B97" i="6"/>
  <c r="A97" i="6"/>
  <c r="B96" i="6"/>
  <c r="A96" i="6"/>
  <c r="B95" i="6"/>
  <c r="A95" i="6"/>
  <c r="B94" i="6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14" i="7" l="1"/>
  <c r="N14" i="7" s="1"/>
  <c r="L8" i="7"/>
  <c r="L6" i="7"/>
  <c r="A6" i="7" s="1"/>
  <c r="B10" i="5"/>
  <c r="J2" i="7"/>
  <c r="L9" i="7"/>
  <c r="B5" i="5" s="1"/>
  <c r="L12" i="7"/>
  <c r="B8" i="5" s="1"/>
  <c r="L7" i="7"/>
  <c r="B3" i="5" s="1"/>
  <c r="L15" i="7"/>
  <c r="B11" i="5" s="1"/>
  <c r="A8" i="7"/>
  <c r="L10" i="7"/>
  <c r="B6" i="5" s="1"/>
  <c r="L13" i="7"/>
  <c r="B9" i="5" s="1"/>
  <c r="M94" i="7"/>
  <c r="A14" i="7"/>
  <c r="L11" i="7"/>
  <c r="B7" i="5" s="1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M14" i="7" l="1"/>
  <c r="G5" i="5"/>
  <c r="G6" i="5"/>
  <c r="B6" i="7"/>
  <c r="B2" i="5"/>
  <c r="G94" i="7"/>
  <c r="B4" i="5"/>
  <c r="G7" i="5"/>
  <c r="G3" i="5"/>
  <c r="G8" i="5"/>
  <c r="G9" i="5"/>
  <c r="G10" i="5"/>
  <c r="G11" i="5"/>
  <c r="O14" i="7"/>
  <c r="S14" i="7" s="1"/>
  <c r="P14" i="7"/>
  <c r="C10" i="5" s="1"/>
  <c r="Q14" i="7"/>
  <c r="B8" i="7"/>
  <c r="M8" i="7" s="1"/>
  <c r="K8" i="7"/>
  <c r="J8" i="7"/>
  <c r="I8" i="7"/>
  <c r="H8" i="7"/>
  <c r="A4" i="5" s="1"/>
  <c r="G8" i="7"/>
  <c r="G6" i="7"/>
  <c r="K6" i="7"/>
  <c r="H6" i="7"/>
  <c r="A2" i="5" s="1"/>
  <c r="J6" i="7"/>
  <c r="F6" i="7" s="1"/>
  <c r="I6" i="7"/>
  <c r="E6" i="7" s="1"/>
  <c r="G14" i="7"/>
  <c r="K14" i="7"/>
  <c r="J14" i="7"/>
  <c r="H14" i="7"/>
  <c r="A10" i="5" s="1"/>
  <c r="I14" i="7"/>
  <c r="F94" i="7"/>
  <c r="B7" i="7"/>
  <c r="A7" i="7"/>
  <c r="N94" i="7"/>
  <c r="L16" i="7"/>
  <c r="B12" i="5" s="1"/>
  <c r="B15" i="7"/>
  <c r="A15" i="7"/>
  <c r="L94" i="7"/>
  <c r="B13" i="7"/>
  <c r="A13" i="7"/>
  <c r="A12" i="7"/>
  <c r="K94" i="7"/>
  <c r="B12" i="7"/>
  <c r="A9" i="7"/>
  <c r="H94" i="7"/>
  <c r="B9" i="7"/>
  <c r="R14" i="7"/>
  <c r="B10" i="7"/>
  <c r="A10" i="7"/>
  <c r="I94" i="7"/>
  <c r="B11" i="7"/>
  <c r="A11" i="7"/>
  <c r="J94" i="7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M96" i="7" l="1"/>
  <c r="T14" i="7"/>
  <c r="N8" i="7"/>
  <c r="R8" i="7" s="1"/>
  <c r="P8" i="7"/>
  <c r="C4" i="5" s="1"/>
  <c r="Q8" i="7"/>
  <c r="G2" i="5"/>
  <c r="D2" i="5"/>
  <c r="P6" i="7"/>
  <c r="C2" i="5" s="1"/>
  <c r="Q6" i="7"/>
  <c r="O6" i="7"/>
  <c r="S6" i="7" s="1"/>
  <c r="N6" i="7"/>
  <c r="M6" i="7"/>
  <c r="G12" i="5"/>
  <c r="D6" i="7"/>
  <c r="O8" i="7"/>
  <c r="G4" i="5"/>
  <c r="I9" i="7"/>
  <c r="H9" i="7"/>
  <c r="A5" i="5" s="1"/>
  <c r="G9" i="7"/>
  <c r="J9" i="7"/>
  <c r="K9" i="7"/>
  <c r="M12" i="7"/>
  <c r="Q12" i="7"/>
  <c r="P12" i="7"/>
  <c r="C8" i="5" s="1"/>
  <c r="O12" i="7"/>
  <c r="N12" i="7"/>
  <c r="G10" i="7"/>
  <c r="K10" i="7"/>
  <c r="H10" i="7"/>
  <c r="A6" i="5" s="1"/>
  <c r="J10" i="7"/>
  <c r="I10" i="7"/>
  <c r="P10" i="7"/>
  <c r="C6" i="5" s="1"/>
  <c r="Q10" i="7"/>
  <c r="O10" i="7"/>
  <c r="N10" i="7"/>
  <c r="M10" i="7"/>
  <c r="K12" i="7"/>
  <c r="J12" i="7"/>
  <c r="I12" i="7"/>
  <c r="H12" i="7"/>
  <c r="A8" i="5" s="1"/>
  <c r="G12" i="7"/>
  <c r="K7" i="7"/>
  <c r="J7" i="7"/>
  <c r="I7" i="7"/>
  <c r="H7" i="7"/>
  <c r="A3" i="5" s="1"/>
  <c r="D4" i="5" s="1"/>
  <c r="G7" i="7"/>
  <c r="N11" i="7"/>
  <c r="M11" i="7"/>
  <c r="Q11" i="7"/>
  <c r="O11" i="7"/>
  <c r="P11" i="7"/>
  <c r="C7" i="5" s="1"/>
  <c r="N7" i="7"/>
  <c r="M7" i="7"/>
  <c r="O7" i="7"/>
  <c r="Q7" i="7"/>
  <c r="P7" i="7"/>
  <c r="C3" i="5" s="1"/>
  <c r="I13" i="7"/>
  <c r="H13" i="7"/>
  <c r="A9" i="5" s="1"/>
  <c r="G13" i="7"/>
  <c r="J13" i="7"/>
  <c r="K13" i="7"/>
  <c r="Q13" i="7"/>
  <c r="P13" i="7"/>
  <c r="C9" i="5" s="1"/>
  <c r="O13" i="7"/>
  <c r="N13" i="7"/>
  <c r="M13" i="7"/>
  <c r="K11" i="7"/>
  <c r="J11" i="7"/>
  <c r="I11" i="7"/>
  <c r="H11" i="7"/>
  <c r="A7" i="5" s="1"/>
  <c r="G11" i="7"/>
  <c r="Q9" i="7"/>
  <c r="P9" i="7"/>
  <c r="C5" i="5" s="1"/>
  <c r="O9" i="7"/>
  <c r="N9" i="7"/>
  <c r="M9" i="7"/>
  <c r="K15" i="7"/>
  <c r="J15" i="7"/>
  <c r="I15" i="7"/>
  <c r="H15" i="7"/>
  <c r="A11" i="5" s="1"/>
  <c r="G15" i="7"/>
  <c r="M15" i="7"/>
  <c r="Q15" i="7"/>
  <c r="P15" i="7"/>
  <c r="C11" i="5" s="1"/>
  <c r="O15" i="7"/>
  <c r="N15" i="7"/>
  <c r="S8" i="7"/>
  <c r="E8" i="7"/>
  <c r="G95" i="7"/>
  <c r="D8" i="7"/>
  <c r="F8" i="7"/>
  <c r="O94" i="7"/>
  <c r="B16" i="7"/>
  <c r="A16" i="7"/>
  <c r="L17" i="7"/>
  <c r="B13" i="5" s="1"/>
  <c r="M95" i="7"/>
  <c r="E14" i="7"/>
  <c r="F14" i="7"/>
  <c r="D14" i="7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T8" i="7" l="1"/>
  <c r="G96" i="7"/>
  <c r="D5" i="5"/>
  <c r="D3" i="5"/>
  <c r="D11" i="5"/>
  <c r="D9" i="5"/>
  <c r="D6" i="5"/>
  <c r="R6" i="7"/>
  <c r="T6" i="7"/>
  <c r="D10" i="5"/>
  <c r="G13" i="5"/>
  <c r="D7" i="5"/>
  <c r="D8" i="5"/>
  <c r="Q16" i="7"/>
  <c r="P16" i="7"/>
  <c r="C12" i="5" s="1"/>
  <c r="O16" i="7"/>
  <c r="N16" i="7"/>
  <c r="M16" i="7"/>
  <c r="J16" i="7"/>
  <c r="I16" i="7"/>
  <c r="H16" i="7"/>
  <c r="A12" i="5" s="1"/>
  <c r="G16" i="7"/>
  <c r="K16" i="7"/>
  <c r="T7" i="7"/>
  <c r="R7" i="7"/>
  <c r="A17" i="7"/>
  <c r="L18" i="7"/>
  <c r="B14" i="5" s="1"/>
  <c r="P94" i="7"/>
  <c r="B17" i="7"/>
  <c r="T11" i="7"/>
  <c r="R11" i="7"/>
  <c r="K96" i="7"/>
  <c r="S12" i="7"/>
  <c r="D11" i="7"/>
  <c r="F11" i="7"/>
  <c r="T15" i="7"/>
  <c r="R15" i="7"/>
  <c r="S11" i="7"/>
  <c r="J96" i="7"/>
  <c r="N96" i="7"/>
  <c r="S15" i="7"/>
  <c r="F12" i="7"/>
  <c r="D12" i="7"/>
  <c r="F96" i="7"/>
  <c r="S7" i="7"/>
  <c r="E13" i="7"/>
  <c r="L95" i="7"/>
  <c r="T10" i="7"/>
  <c r="R10" i="7"/>
  <c r="F15" i="7"/>
  <c r="D15" i="7"/>
  <c r="T12" i="7"/>
  <c r="R12" i="7"/>
  <c r="F95" i="7"/>
  <c r="E7" i="7"/>
  <c r="F7" i="7"/>
  <c r="D7" i="7"/>
  <c r="F9" i="7"/>
  <c r="D9" i="7"/>
  <c r="R9" i="7"/>
  <c r="T9" i="7"/>
  <c r="I96" i="7"/>
  <c r="S10" i="7"/>
  <c r="I95" i="7"/>
  <c r="E10" i="7"/>
  <c r="N95" i="7"/>
  <c r="E15" i="7"/>
  <c r="E11" i="7"/>
  <c r="J95" i="7"/>
  <c r="T13" i="7"/>
  <c r="R13" i="7"/>
  <c r="F13" i="7"/>
  <c r="D13" i="7"/>
  <c r="H96" i="7"/>
  <c r="S9" i="7"/>
  <c r="F10" i="7"/>
  <c r="D10" i="7"/>
  <c r="S13" i="7"/>
  <c r="L96" i="7"/>
  <c r="H95" i="7"/>
  <c r="E9" i="7"/>
  <c r="E12" i="7"/>
  <c r="K95" i="7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G14" i="5" l="1"/>
  <c r="D12" i="5"/>
  <c r="Q17" i="7"/>
  <c r="P17" i="7"/>
  <c r="C13" i="5" s="1"/>
  <c r="O17" i="7"/>
  <c r="N17" i="7"/>
  <c r="M17" i="7"/>
  <c r="H17" i="7"/>
  <c r="A13" i="5" s="1"/>
  <c r="I17" i="7"/>
  <c r="G17" i="7"/>
  <c r="K17" i="7"/>
  <c r="J17" i="7"/>
  <c r="S16" i="7"/>
  <c r="O96" i="7"/>
  <c r="D16" i="7"/>
  <c r="F16" i="7"/>
  <c r="L19" i="7"/>
  <c r="B15" i="5" s="1"/>
  <c r="B18" i="7"/>
  <c r="A18" i="7"/>
  <c r="Q94" i="7"/>
  <c r="E16" i="7"/>
  <c r="O95" i="7"/>
  <c r="T16" i="7"/>
  <c r="R16" i="7"/>
  <c r="AA7" i="2"/>
  <c r="AA6" i="2"/>
  <c r="D13" i="5" l="1"/>
  <c r="G15" i="5"/>
  <c r="O18" i="7"/>
  <c r="N18" i="7"/>
  <c r="P18" i="7"/>
  <c r="C14" i="5" s="1"/>
  <c r="E13" i="5" s="1"/>
  <c r="M18" i="7"/>
  <c r="Q18" i="7"/>
  <c r="K18" i="7"/>
  <c r="J18" i="7"/>
  <c r="G18" i="7"/>
  <c r="I18" i="7"/>
  <c r="H18" i="7"/>
  <c r="A14" i="5" s="1"/>
  <c r="D14" i="5" s="1"/>
  <c r="F17" i="7"/>
  <c r="D17" i="7"/>
  <c r="P95" i="7"/>
  <c r="E17" i="7"/>
  <c r="R17" i="7"/>
  <c r="T17" i="7"/>
  <c r="P96" i="7"/>
  <c r="S17" i="7"/>
  <c r="B19" i="7"/>
  <c r="A19" i="7"/>
  <c r="R94" i="7"/>
  <c r="L20" i="7"/>
  <c r="B16" i="5" s="1"/>
  <c r="A3" i="2"/>
  <c r="A4" i="2"/>
  <c r="A5" i="2" s="1"/>
  <c r="A1" i="2"/>
  <c r="A2" i="2"/>
  <c r="L2" i="3" s="1"/>
  <c r="F13" i="5" l="1"/>
  <c r="E8" i="5"/>
  <c r="F8" i="5" s="1"/>
  <c r="G16" i="5"/>
  <c r="E4" i="5"/>
  <c r="F4" i="5" s="1"/>
  <c r="E9" i="5"/>
  <c r="F9" i="5" s="1"/>
  <c r="E12" i="5"/>
  <c r="F12" i="5" s="1"/>
  <c r="E14" i="5"/>
  <c r="F14" i="5" s="1"/>
  <c r="E11" i="5"/>
  <c r="F11" i="5" s="1"/>
  <c r="E5" i="5"/>
  <c r="F5" i="5" s="1"/>
  <c r="E10" i="5"/>
  <c r="F10" i="5" s="1"/>
  <c r="E2" i="5"/>
  <c r="F2" i="5" s="1"/>
  <c r="E3" i="5"/>
  <c r="F3" i="5" s="1"/>
  <c r="E7" i="5"/>
  <c r="F7" i="5" s="1"/>
  <c r="E6" i="5"/>
  <c r="F6" i="5" s="1"/>
  <c r="K19" i="7"/>
  <c r="J19" i="7"/>
  <c r="I19" i="7"/>
  <c r="H19" i="7"/>
  <c r="A15" i="5" s="1"/>
  <c r="G19" i="7"/>
  <c r="M19" i="7"/>
  <c r="N19" i="7"/>
  <c r="Q19" i="7"/>
  <c r="P19" i="7"/>
  <c r="C15" i="5" s="1"/>
  <c r="E15" i="5" s="1"/>
  <c r="O19" i="7"/>
  <c r="Q95" i="7"/>
  <c r="E18" i="7"/>
  <c r="T18" i="7"/>
  <c r="R18" i="7"/>
  <c r="F18" i="7"/>
  <c r="D18" i="7"/>
  <c r="L21" i="7"/>
  <c r="B17" i="5" s="1"/>
  <c r="S94" i="7"/>
  <c r="B20" i="7"/>
  <c r="A20" i="7"/>
  <c r="Q96" i="7"/>
  <c r="S18" i="7"/>
  <c r="O2" i="3"/>
  <c r="J2" i="3"/>
  <c r="D15" i="5" l="1"/>
  <c r="F15" i="5" s="1"/>
  <c r="G17" i="5"/>
  <c r="J20" i="7"/>
  <c r="I20" i="7"/>
  <c r="H20" i="7"/>
  <c r="A16" i="5" s="1"/>
  <c r="D16" i="5" s="1"/>
  <c r="G20" i="7"/>
  <c r="K20" i="7"/>
  <c r="Q20" i="7"/>
  <c r="P20" i="7"/>
  <c r="C16" i="5" s="1"/>
  <c r="O20" i="7"/>
  <c r="N20" i="7"/>
  <c r="M20" i="7"/>
  <c r="R96" i="7"/>
  <c r="S19" i="7"/>
  <c r="B21" i="7"/>
  <c r="A21" i="7"/>
  <c r="R95" i="7"/>
  <c r="E19" i="7"/>
  <c r="D19" i="7"/>
  <c r="F19" i="7"/>
  <c r="T19" i="7"/>
  <c r="R19" i="7"/>
  <c r="M4" i="3"/>
  <c r="D4" i="3"/>
  <c r="B6" i="2"/>
  <c r="A6" i="2"/>
  <c r="E16" i="5" l="1"/>
  <c r="F16" i="5" s="1"/>
  <c r="H21" i="7"/>
  <c r="A17" i="5" s="1"/>
  <c r="G21" i="7"/>
  <c r="K21" i="7"/>
  <c r="I21" i="7"/>
  <c r="E21" i="7" s="1"/>
  <c r="J21" i="7"/>
  <c r="Q21" i="7"/>
  <c r="P21" i="7"/>
  <c r="C17" i="5" s="1"/>
  <c r="O21" i="7"/>
  <c r="S21" i="7" s="1"/>
  <c r="N21" i="7"/>
  <c r="M21" i="7"/>
  <c r="E20" i="7"/>
  <c r="S95" i="7"/>
  <c r="F20" i="7"/>
  <c r="D20" i="7"/>
  <c r="R20" i="7"/>
  <c r="T20" i="7"/>
  <c r="S96" i="7"/>
  <c r="S20" i="7"/>
  <c r="T2" i="3"/>
  <c r="D17" i="5" l="1"/>
  <c r="A18" i="5"/>
  <c r="E17" i="5"/>
  <c r="C18" i="5"/>
  <c r="T21" i="7"/>
  <c r="R21" i="7"/>
  <c r="F21" i="7"/>
  <c r="D21" i="7"/>
  <c r="L14" i="3"/>
  <c r="J4" i="5" l="1"/>
  <c r="J5" i="5" s="1"/>
  <c r="F17" i="5"/>
  <c r="L7" i="3"/>
  <c r="B10" i="4"/>
  <c r="L6" i="3"/>
  <c r="B2" i="4" s="1"/>
  <c r="B14" i="3"/>
  <c r="L9" i="3"/>
  <c r="A14" i="3"/>
  <c r="K14" i="3" s="1"/>
  <c r="L8" i="3"/>
  <c r="B4" i="4" s="1"/>
  <c r="B9" i="3" l="1"/>
  <c r="B5" i="4"/>
  <c r="F94" i="3"/>
  <c r="B3" i="4"/>
  <c r="B8" i="3"/>
  <c r="A6" i="3"/>
  <c r="B6" i="3"/>
  <c r="A8" i="3"/>
  <c r="J8" i="3" s="1"/>
  <c r="A9" i="3"/>
  <c r="T5" i="3"/>
  <c r="S5" i="3"/>
  <c r="R5" i="3"/>
  <c r="K6" i="3" l="1"/>
  <c r="G6" i="3"/>
  <c r="J6" i="3"/>
  <c r="I6" i="3"/>
  <c r="E6" i="3" s="1"/>
  <c r="H6" i="3"/>
  <c r="A2" i="4" s="1"/>
  <c r="N6" i="3"/>
  <c r="M6" i="3"/>
  <c r="P6" i="3"/>
  <c r="C2" i="4" s="1"/>
  <c r="Q6" i="3"/>
  <c r="O6" i="3"/>
  <c r="S6" i="3" s="1"/>
  <c r="O14" i="3"/>
  <c r="S14" i="3" s="1"/>
  <c r="N14" i="3"/>
  <c r="P14" i="3"/>
  <c r="C10" i="4" s="1"/>
  <c r="Q14" i="3"/>
  <c r="M14" i="3"/>
  <c r="M8" i="3"/>
  <c r="M9" i="3"/>
  <c r="P8" i="3"/>
  <c r="C4" i="4" s="1"/>
  <c r="P9" i="3"/>
  <c r="C5" i="4" s="1"/>
  <c r="N9" i="3"/>
  <c r="O9" i="3"/>
  <c r="O8" i="3"/>
  <c r="Q8" i="3"/>
  <c r="Q9" i="3"/>
  <c r="N8" i="3"/>
  <c r="H14" i="3"/>
  <c r="A10" i="4" s="1"/>
  <c r="I14" i="3"/>
  <c r="E14" i="3" s="1"/>
  <c r="G14" i="3"/>
  <c r="J14" i="3"/>
  <c r="H8" i="3"/>
  <c r="A4" i="4" s="1"/>
  <c r="K9" i="3"/>
  <c r="I8" i="3"/>
  <c r="G9" i="3"/>
  <c r="I9" i="3"/>
  <c r="K8" i="3"/>
  <c r="J9" i="3"/>
  <c r="G8" i="3"/>
  <c r="H9" i="3"/>
  <c r="A5" i="4" s="1"/>
  <c r="L10" i="3"/>
  <c r="B6" i="4" s="1"/>
  <c r="L11" i="3"/>
  <c r="B7" i="4" s="1"/>
  <c r="M94" i="3"/>
  <c r="D2" i="4" l="1"/>
  <c r="E9" i="3"/>
  <c r="H95" i="3"/>
  <c r="G96" i="3"/>
  <c r="E8" i="3"/>
  <c r="G95" i="3"/>
  <c r="S9" i="3"/>
  <c r="H96" i="3"/>
  <c r="T6" i="3"/>
  <c r="R6" i="3"/>
  <c r="D6" i="3"/>
  <c r="F6" i="3"/>
  <c r="L12" i="3"/>
  <c r="B8" i="4" s="1"/>
  <c r="M96" i="3"/>
  <c r="F8" i="3"/>
  <c r="D8" i="3"/>
  <c r="R9" i="3"/>
  <c r="T9" i="3"/>
  <c r="T14" i="3"/>
  <c r="R14" i="3"/>
  <c r="T8" i="3"/>
  <c r="R8" i="3"/>
  <c r="M95" i="3"/>
  <c r="F9" i="3"/>
  <c r="D9" i="3"/>
  <c r="D14" i="3"/>
  <c r="F14" i="3"/>
  <c r="S8" i="3"/>
  <c r="A10" i="3"/>
  <c r="B10" i="3"/>
  <c r="A11" i="3"/>
  <c r="B11" i="3"/>
  <c r="G8" i="4" l="1"/>
  <c r="L13" i="3"/>
  <c r="B9" i="4" s="1"/>
  <c r="A12" i="3"/>
  <c r="B12" i="3"/>
  <c r="I10" i="3"/>
  <c r="E10" i="3" s="1"/>
  <c r="H10" i="3"/>
  <c r="A6" i="4" s="1"/>
  <c r="G10" i="3"/>
  <c r="K10" i="3"/>
  <c r="J10" i="3"/>
  <c r="H11" i="3"/>
  <c r="A7" i="4" s="1"/>
  <c r="G11" i="3"/>
  <c r="K11" i="3"/>
  <c r="J11" i="3"/>
  <c r="I11" i="3"/>
  <c r="E11" i="3" s="1"/>
  <c r="P11" i="3"/>
  <c r="C7" i="4" s="1"/>
  <c r="M11" i="3"/>
  <c r="Q11" i="3"/>
  <c r="O11" i="3"/>
  <c r="N11" i="3"/>
  <c r="O10" i="3"/>
  <c r="P10" i="3"/>
  <c r="C6" i="4" s="1"/>
  <c r="N10" i="3"/>
  <c r="M10" i="3"/>
  <c r="Q10" i="3"/>
  <c r="A13" i="3" l="1"/>
  <c r="I13" i="3" s="1"/>
  <c r="B13" i="3"/>
  <c r="K12" i="3"/>
  <c r="G12" i="3"/>
  <c r="H12" i="3"/>
  <c r="A8" i="4" s="1"/>
  <c r="I12" i="3"/>
  <c r="E12" i="3" s="1"/>
  <c r="J12" i="3"/>
  <c r="M12" i="3"/>
  <c r="O12" i="3"/>
  <c r="S12" i="3" s="1"/>
  <c r="P12" i="3"/>
  <c r="C8" i="4" s="1"/>
  <c r="N12" i="3"/>
  <c r="Q12" i="3"/>
  <c r="D11" i="3"/>
  <c r="F11" i="3"/>
  <c r="D10" i="3"/>
  <c r="F10" i="3"/>
  <c r="T10" i="3"/>
  <c r="R10" i="3"/>
  <c r="S11" i="3"/>
  <c r="T11" i="3"/>
  <c r="R11" i="3"/>
  <c r="S10" i="3"/>
  <c r="M13" i="3" l="1"/>
  <c r="P13" i="3"/>
  <c r="C9" i="4" s="1"/>
  <c r="N13" i="3"/>
  <c r="O13" i="3"/>
  <c r="Q13" i="3"/>
  <c r="R12" i="3"/>
  <c r="T12" i="3"/>
  <c r="F12" i="3"/>
  <c r="D12" i="3"/>
  <c r="H13" i="3"/>
  <c r="A9" i="4" s="1"/>
  <c r="K13" i="3"/>
  <c r="J13" i="3"/>
  <c r="G13" i="3"/>
  <c r="E13" i="3" l="1"/>
  <c r="D13" i="3"/>
  <c r="F13" i="3"/>
  <c r="R13" i="3"/>
  <c r="T13" i="3"/>
  <c r="S13" i="3"/>
  <c r="G2" i="4" l="1"/>
  <c r="G94" i="3"/>
  <c r="H94" i="3" l="1"/>
  <c r="G3" i="4" l="1"/>
  <c r="I94" i="3"/>
  <c r="J94" i="3" l="1"/>
  <c r="G4" i="4"/>
  <c r="I96" i="3" l="1"/>
  <c r="I95" i="3"/>
  <c r="K94" i="3"/>
  <c r="L15" i="3"/>
  <c r="B11" i="4" s="1"/>
  <c r="G5" i="4"/>
  <c r="A7" i="3" l="1"/>
  <c r="B7" i="3"/>
  <c r="N94" i="3"/>
  <c r="L16" i="3"/>
  <c r="B12" i="4" s="1"/>
  <c r="J95" i="3"/>
  <c r="B15" i="3"/>
  <c r="L94" i="3"/>
  <c r="A15" i="3"/>
  <c r="J96" i="3"/>
  <c r="G6" i="4"/>
  <c r="O7" i="3" l="1"/>
  <c r="M7" i="3"/>
  <c r="P7" i="3"/>
  <c r="C3" i="4" s="1"/>
  <c r="N7" i="3"/>
  <c r="Q7" i="3"/>
  <c r="J7" i="3"/>
  <c r="H7" i="3"/>
  <c r="A3" i="4" s="1"/>
  <c r="G7" i="3"/>
  <c r="I7" i="3"/>
  <c r="K7" i="3"/>
  <c r="O94" i="3"/>
  <c r="L17" i="3"/>
  <c r="B13" i="4" s="1"/>
  <c r="B16" i="3"/>
  <c r="N16" i="3" s="1"/>
  <c r="A16" i="3"/>
  <c r="P15" i="3"/>
  <c r="C11" i="4" s="1"/>
  <c r="N15" i="3"/>
  <c r="O15" i="3"/>
  <c r="Q15" i="3"/>
  <c r="M15" i="3"/>
  <c r="K96" i="3"/>
  <c r="G15" i="3"/>
  <c r="I15" i="3"/>
  <c r="H15" i="3"/>
  <c r="A11" i="4" s="1"/>
  <c r="J15" i="3"/>
  <c r="K15" i="3"/>
  <c r="G7" i="4"/>
  <c r="G9" i="4"/>
  <c r="K95" i="3"/>
  <c r="D7" i="4" l="1"/>
  <c r="D6" i="4"/>
  <c r="D4" i="4"/>
  <c r="D10" i="4"/>
  <c r="D5" i="4"/>
  <c r="D3" i="4"/>
  <c r="D8" i="4"/>
  <c r="D9" i="4"/>
  <c r="D11" i="4"/>
  <c r="E7" i="3"/>
  <c r="F95" i="3"/>
  <c r="S7" i="3"/>
  <c r="F96" i="3"/>
  <c r="F7" i="3"/>
  <c r="D7" i="3"/>
  <c r="R7" i="3"/>
  <c r="T7" i="3"/>
  <c r="N96" i="3"/>
  <c r="G10" i="4"/>
  <c r="Q16" i="3"/>
  <c r="M16" i="3"/>
  <c r="P16" i="3"/>
  <c r="C12" i="4" s="1"/>
  <c r="O16" i="3"/>
  <c r="G16" i="3"/>
  <c r="K16" i="3"/>
  <c r="H16" i="3"/>
  <c r="A12" i="4" s="1"/>
  <c r="D12" i="4" s="1"/>
  <c r="J16" i="3"/>
  <c r="I16" i="3"/>
  <c r="P94" i="3"/>
  <c r="L18" i="3"/>
  <c r="B14" i="4" s="1"/>
  <c r="G11" i="4"/>
  <c r="A17" i="3"/>
  <c r="B17" i="3"/>
  <c r="N95" i="3"/>
  <c r="D15" i="3"/>
  <c r="F15" i="3"/>
  <c r="R15" i="3"/>
  <c r="T15" i="3"/>
  <c r="S15" i="3"/>
  <c r="L96" i="3"/>
  <c r="E15" i="3"/>
  <c r="L95" i="3"/>
  <c r="Q94" i="3" l="1"/>
  <c r="L19" i="3"/>
  <c r="B15" i="4" s="1"/>
  <c r="A18" i="3"/>
  <c r="B18" i="3"/>
  <c r="O96" i="3"/>
  <c r="S16" i="3"/>
  <c r="R16" i="3"/>
  <c r="T16" i="3"/>
  <c r="D16" i="3"/>
  <c r="F16" i="3"/>
  <c r="J17" i="3"/>
  <c r="G17" i="3"/>
  <c r="K17" i="3"/>
  <c r="I17" i="3"/>
  <c r="H17" i="3"/>
  <c r="A13" i="4" s="1"/>
  <c r="O95" i="3"/>
  <c r="E16" i="3"/>
  <c r="O17" i="3"/>
  <c r="Q17" i="3"/>
  <c r="N17" i="3"/>
  <c r="P17" i="3"/>
  <c r="C13" i="4" s="1"/>
  <c r="M17" i="3"/>
  <c r="D13" i="4" l="1"/>
  <c r="G15" i="4"/>
  <c r="P96" i="3"/>
  <c r="S17" i="3"/>
  <c r="F17" i="3"/>
  <c r="D17" i="3"/>
  <c r="Q18" i="3"/>
  <c r="N18" i="3"/>
  <c r="M18" i="3"/>
  <c r="O18" i="3"/>
  <c r="P18" i="3"/>
  <c r="C14" i="4" s="1"/>
  <c r="E7" i="4" s="1"/>
  <c r="G12" i="4"/>
  <c r="R17" i="3"/>
  <c r="T17" i="3"/>
  <c r="R94" i="3"/>
  <c r="L20" i="3"/>
  <c r="B16" i="4" s="1"/>
  <c r="A19" i="3"/>
  <c r="B19" i="3"/>
  <c r="P95" i="3"/>
  <c r="E17" i="3"/>
  <c r="K18" i="3"/>
  <c r="H18" i="3"/>
  <c r="A14" i="4" s="1"/>
  <c r="D14" i="4" s="1"/>
  <c r="J18" i="3"/>
  <c r="G18" i="3"/>
  <c r="I18" i="3"/>
  <c r="E10" i="4" l="1"/>
  <c r="E11" i="4"/>
  <c r="E13" i="4"/>
  <c r="E2" i="4"/>
  <c r="E5" i="4"/>
  <c r="E6" i="4"/>
  <c r="E4" i="4"/>
  <c r="E3" i="4"/>
  <c r="E12" i="4"/>
  <c r="E8" i="4"/>
  <c r="E14" i="4"/>
  <c r="E9" i="4"/>
  <c r="G16" i="4"/>
  <c r="L21" i="3"/>
  <c r="B17" i="4" s="1"/>
  <c r="S94" i="3"/>
  <c r="A20" i="3"/>
  <c r="B20" i="3"/>
  <c r="G19" i="3"/>
  <c r="J19" i="3"/>
  <c r="I19" i="3"/>
  <c r="K19" i="3"/>
  <c r="H19" i="3"/>
  <c r="A15" i="4" s="1"/>
  <c r="R18" i="3"/>
  <c r="T18" i="3"/>
  <c r="Q95" i="3"/>
  <c r="E18" i="3"/>
  <c r="N19" i="3"/>
  <c r="M19" i="3"/>
  <c r="Q19" i="3"/>
  <c r="P19" i="3"/>
  <c r="C15" i="4" s="1"/>
  <c r="O19" i="3"/>
  <c r="F18" i="3"/>
  <c r="D18" i="3"/>
  <c r="G13" i="4"/>
  <c r="Q96" i="3"/>
  <c r="S18" i="3"/>
  <c r="E15" i="4" l="1"/>
  <c r="D15" i="4"/>
  <c r="G17" i="4"/>
  <c r="S19" i="3"/>
  <c r="R96" i="3"/>
  <c r="E19" i="3"/>
  <c r="R95" i="3"/>
  <c r="P20" i="3"/>
  <c r="C16" i="4" s="1"/>
  <c r="E16" i="4" s="1"/>
  <c r="M20" i="3"/>
  <c r="Q20" i="3"/>
  <c r="O20" i="3"/>
  <c r="N20" i="3"/>
  <c r="A21" i="3"/>
  <c r="B21" i="3"/>
  <c r="G14" i="4"/>
  <c r="R19" i="3"/>
  <c r="T19" i="3"/>
  <c r="F19" i="3"/>
  <c r="D19" i="3"/>
  <c r="G20" i="3"/>
  <c r="H20" i="3"/>
  <c r="A16" i="4" s="1"/>
  <c r="D16" i="4" s="1"/>
  <c r="J20" i="3"/>
  <c r="I20" i="3"/>
  <c r="K20" i="3"/>
  <c r="F15" i="4" l="1"/>
  <c r="F16" i="4"/>
  <c r="J21" i="3"/>
  <c r="I21" i="3"/>
  <c r="E21" i="3" s="1"/>
  <c r="H21" i="3"/>
  <c r="A17" i="4" s="1"/>
  <c r="G21" i="3"/>
  <c r="K21" i="3"/>
  <c r="S96" i="3"/>
  <c r="S20" i="3"/>
  <c r="E20" i="3"/>
  <c r="S95" i="3"/>
  <c r="D20" i="3"/>
  <c r="F20" i="3"/>
  <c r="T20" i="3"/>
  <c r="R20" i="3"/>
  <c r="O21" i="3"/>
  <c r="S21" i="3" s="1"/>
  <c r="Q21" i="3"/>
  <c r="M21" i="3"/>
  <c r="N21" i="3"/>
  <c r="P21" i="3"/>
  <c r="D17" i="4" l="1"/>
  <c r="A18" i="4"/>
  <c r="R3" i="3"/>
  <c r="C17" i="4"/>
  <c r="C18" i="4" s="1"/>
  <c r="F21" i="3"/>
  <c r="D21" i="3"/>
  <c r="T21" i="3"/>
  <c r="R21" i="3"/>
  <c r="F10" i="4"/>
  <c r="J4" i="4" l="1"/>
  <c r="J5" i="4" s="1"/>
  <c r="E17" i="4"/>
  <c r="F17" i="4" s="1"/>
  <c r="F13" i="4"/>
  <c r="F12" i="4"/>
  <c r="F4" i="4"/>
  <c r="F5" i="4"/>
  <c r="F2" i="4"/>
  <c r="F14" i="4"/>
  <c r="F11" i="4"/>
  <c r="F3" i="4"/>
  <c r="F6" i="4"/>
  <c r="F9" i="4"/>
  <c r="F8" i="4"/>
  <c r="F7" i="4"/>
</calcChain>
</file>

<file path=xl/connections.xml><?xml version="1.0" encoding="utf-8"?>
<connections xmlns="http://schemas.openxmlformats.org/spreadsheetml/2006/main">
  <connection id="1" interval="5" name="Connection" type="4" refreshedVersion="6" background="1" refreshOnLoad="1" saveData="1">
    <webPr sourceData="1" parsePre="1" consecutive="1" xl2000="1" url="https://www.nseindia.com/live_market/dynaContent/live_watch/option_chain/optionKeys.jsp?symbolCode=-10006&amp;symbol=NIFTY&amp;symbol=NIFTY&amp;instrument=-&amp;date=-&amp;segmentLink=17&amp;symbolCount=2&amp;segmentLink=17"/>
  </connection>
  <connection id="2" interval="5" name="Connection1" type="4" refreshedVersion="6" background="1" saveData="1">
    <webPr sourceData="1" parsePre="1" consecutive="1" xl2000="1" url="https://www.nseindia.com/live_market/dynaContent/live_watch/option_chain/optionKeys.jsp?symbolCode=-9999&amp;symbol=BANKNIFTY&amp;symbol=BANKNIFTY&amp;instrument=-&amp;date=-&amp;segmentLink=17&amp;symbolCount=2&amp;segmentLink=17"/>
  </connection>
</connections>
</file>

<file path=xl/sharedStrings.xml><?xml version="1.0" encoding="utf-8"?>
<sst xmlns="http://schemas.openxmlformats.org/spreadsheetml/2006/main" count="15029" uniqueCount="84">
  <si>
    <t>CALLS</t>
  </si>
  <si>
    <t>PUTS</t>
  </si>
  <si>
    <t>Chart</t>
  </si>
  <si>
    <t>OI</t>
  </si>
  <si>
    <t>Chng in OI</t>
  </si>
  <si>
    <t>Volume</t>
  </si>
  <si>
    <t>IV</t>
  </si>
  <si>
    <t>LTP</t>
  </si>
  <si>
    <t>Net Chng</t>
  </si>
  <si>
    <t>Bid</t>
  </si>
  <si>
    <t>Qty</t>
  </si>
  <si>
    <t>Price</t>
  </si>
  <si>
    <t>Ask</t>
  </si>
  <si>
    <t>Strike Price</t>
  </si>
  <si>
    <t>-</t>
  </si>
  <si>
    <t>Option Chain (Equity Derivatives)</t>
  </si>
  <si>
    <t>NIFTY SPOT</t>
  </si>
  <si>
    <t>Interpretation</t>
  </si>
  <si>
    <t>OI change</t>
  </si>
  <si>
    <t>price change</t>
  </si>
  <si>
    <t>strike</t>
  </si>
  <si>
    <t>CHG in OI &gt; Volume - Better to Sell the strike</t>
  </si>
  <si>
    <t>CHG in OI &lt; Volume - Better to Buy the strike</t>
  </si>
  <si>
    <t>STRIKE</t>
  </si>
  <si>
    <t>CE</t>
  </si>
  <si>
    <t>PE</t>
  </si>
  <si>
    <t>Call OI</t>
  </si>
  <si>
    <t>Strike</t>
  </si>
  <si>
    <t>Put OI</t>
  </si>
  <si>
    <t>Call value</t>
  </si>
  <si>
    <t>Put value</t>
  </si>
  <si>
    <t>Total</t>
  </si>
  <si>
    <t>Call Volume</t>
  </si>
  <si>
    <t>Put Volume</t>
  </si>
  <si>
    <t>Put Price Change</t>
  </si>
  <si>
    <t>Put LTP</t>
  </si>
  <si>
    <t>Put Change in OI</t>
  </si>
  <si>
    <t>Put Net OI</t>
  </si>
  <si>
    <t>Call LTP</t>
  </si>
  <si>
    <t>Call change in OI</t>
  </si>
  <si>
    <t>Call Net OI</t>
  </si>
  <si>
    <t>Call Price change</t>
  </si>
  <si>
    <t>Todays Date</t>
  </si>
  <si>
    <t>PCR RATIO</t>
  </si>
  <si>
    <t>CURRENT</t>
  </si>
  <si>
    <t>Oversold</t>
  </si>
  <si>
    <t>Overbought</t>
  </si>
  <si>
    <t xml:space="preserve">Strike PCR </t>
  </si>
  <si>
    <t>;;</t>
  </si>
  <si>
    <t xml:space="preserve">View Options Contracts for: </t>
  </si>
  <si>
    <t xml:space="preserve">OR </t>
  </si>
  <si>
    <t>Filter by: Expiry Date</t>
  </si>
  <si>
    <t>Futures contracts</t>
  </si>
  <si>
    <t>Top</t>
  </si>
  <si>
    <t>Note : 10% interest rate is applied while computing implied volatility.</t>
  </si>
  <si>
    <t xml:space="preserve"> Highlighted options are in-the-money.</t>
  </si>
  <si>
    <t xml:space="preserve">Underlying Index: NIFTY 9386.15  As on May 23, 2017 15:30:29 IST </t>
  </si>
  <si>
    <t xml:space="preserve">Underlying Index: BANKNIFTY 22582.80  As on May 23, 2017 15:30:29 IST </t>
  </si>
  <si>
    <t>Put Call Ratio</t>
  </si>
  <si>
    <t>Predicted Market Sentiment</t>
  </si>
  <si>
    <t xml:space="preserve">Underlying Index: NIFTY 9408.20  As on May 24, 2017 11:45:22 IST </t>
  </si>
  <si>
    <t xml:space="preserve">Underlying Index: BANKNIFTY 22600.15  As on May 24, 2017 11:44:52 IST </t>
  </si>
  <si>
    <t xml:space="preserve">Underlying Index: NIFTY 9406.75  As on May 24, 2017 11:48:22 IST </t>
  </si>
  <si>
    <t xml:space="preserve">Underlying Index: BANKNIFTY 22600.95  As on May 24, 2017 11:49:52 IST </t>
  </si>
  <si>
    <t xml:space="preserve">Underlying Index: NIFTY 9407.55  As on May 24, 2017 11:53:52 IST </t>
  </si>
  <si>
    <t xml:space="preserve">Underlying Index: BANKNIFTY 22591.95  As on May 24, 2017 11:54:53 IST </t>
  </si>
  <si>
    <t xml:space="preserve">Underlying Index: NIFTY 9403.95  As on May 24, 2017 11:59:23 IST </t>
  </si>
  <si>
    <t xml:space="preserve">Underlying Index: BANKNIFTY 22596.65  As on May 24, 2017 12:00:23 IST </t>
  </si>
  <si>
    <t xml:space="preserve">Underlying Index: NIFTY 9409.35  As on May 24, 2017 12:03:23 IST </t>
  </si>
  <si>
    <t xml:space="preserve">Underlying Index: BANKNIFTY 22605.15  As on May 24, 2017 12:04:53 IST </t>
  </si>
  <si>
    <t xml:space="preserve">Underlying Index: NIFTY 9408.60  As on May 24, 2017 12:09:23 IST </t>
  </si>
  <si>
    <t xml:space="preserve">Underlying Index: BANKNIFTY 22605.00  As on May 24, 2017 12:09:23 IST </t>
  </si>
  <si>
    <t xml:space="preserve">Underlying Index: NIFTY 9407.00  As on May 24, 2017 12:13:23 IST </t>
  </si>
  <si>
    <t xml:space="preserve">Underlying Index: BANKNIFTY 22599.65  As on May 24, 2017 12:13:53 IST </t>
  </si>
  <si>
    <t xml:space="preserve">Underlying Index: NIFTY 9403.35  As on May 24, 2017 12:19:23 IST </t>
  </si>
  <si>
    <t xml:space="preserve">Underlying Index: BANKNIFTY 22593.65  As on May 24, 2017 12:19:23 IST </t>
  </si>
  <si>
    <t xml:space="preserve">Underlying Index: NIFTY 9405.40  As on May 24, 2017 12:22:53 IST </t>
  </si>
  <si>
    <t xml:space="preserve">Underlying Index: BANKNIFTY 22601.15  As on May 24, 2017 12:23:23 IST </t>
  </si>
  <si>
    <t xml:space="preserve">Underlying Index: BANKNIFTY 22589.35  As on May 24, 2017 12:25:23 IST </t>
  </si>
  <si>
    <t xml:space="preserve">Underlying Index: NIFTY 9401.30  As on May 24, 2017 12:26:23 IST </t>
  </si>
  <si>
    <t xml:space="preserve">Underlying Index: NIFTY 9398.55  As on May 24, 2017 12:34:54 IST </t>
  </si>
  <si>
    <t xml:space="preserve">Underlying Index: BANKNIFTY 22602.20  As on May 24, 2017 12:33:54 IST </t>
  </si>
  <si>
    <t xml:space="preserve">Underlying Index: NIFTY 9360.55  As on May 24, 2017 15:30:29 IST </t>
  </si>
  <si>
    <t xml:space="preserve">Underlying Index: BANKNIFTY 22536.30  As on May 24, 2017 15:30:29 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</si>
</sst>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[$-409]d/m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FF00"/>
      <name val="Arial"/>
      <family val="2"/>
    </font>
    <font>
      <b/>
      <u/>
      <sz val="14"/>
      <color rgb="FFFFFF0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FF00"/>
      <name val="Arial"/>
      <family val="2"/>
    </font>
    <font>
      <b/>
      <sz val="11"/>
      <color theme="9" tint="0.79998168889431442"/>
      <name val="Arial"/>
      <family val="2"/>
    </font>
    <font>
      <b/>
      <sz val="14"/>
      <color theme="0"/>
      <name val="Arial"/>
      <family val="2"/>
    </font>
    <font>
      <b/>
      <sz val="14"/>
      <color theme="3" tint="-0.499984740745262"/>
      <name val="Arial"/>
      <family val="2"/>
    </font>
    <font>
      <b/>
      <u/>
      <sz val="14"/>
      <color theme="3" tint="-0.499984740745262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11"/>
      <color rgb="FF00B0F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gradientFill>
        <stop position="0">
          <color theme="3" tint="0.59999389629810485"/>
        </stop>
        <stop position="0.5">
          <color theme="0"/>
        </stop>
        <stop position="1">
          <color theme="3" tint="0.59999389629810485"/>
        </stop>
      </gradientFill>
    </fill>
    <fill>
      <patternFill patternType="solid">
        <fgColor theme="3" tint="0.39997558519241921"/>
        <bgColor indexed="64"/>
      </patternFill>
    </fill>
    <fill>
      <gradientFill>
        <stop position="0">
          <color theme="4" tint="0.40000610370189521"/>
        </stop>
        <stop position="0.5">
          <color theme="0"/>
        </stop>
        <stop position="1">
          <color theme="4" tint="0.40000610370189521"/>
        </stop>
      </gradientFill>
    </fill>
    <fill>
      <gradientFill degree="90">
        <stop position="0">
          <color theme="3" tint="0.40000610370189521"/>
        </stop>
        <stop position="0.5">
          <color theme="3" tint="0.59999389629810485"/>
        </stop>
        <stop position="1">
          <color theme="3" tint="0.40000610370189521"/>
        </stop>
      </gradientFill>
    </fill>
    <fill>
      <gradientFill degree="90">
        <stop position="0">
          <color theme="1" tint="0.25098422193060094"/>
        </stop>
        <stop position="1">
          <color theme="1" tint="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rgb="FF00B0F0"/>
      </bottom>
      <diagonal/>
    </border>
    <border>
      <left/>
      <right/>
      <top style="thin">
        <color theme="9" tint="-0.249977111117893"/>
      </top>
      <bottom style="thin">
        <color rgb="FF00B0F0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rgb="FF00B0F0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3" fontId="0" fillId="0" borderId="0" xfId="0" applyNumberFormat="1"/>
    <xf numFmtId="0" fontId="0" fillId="2" borderId="0" xfId="0" applyFill="1"/>
    <xf numFmtId="0" fontId="3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center"/>
    </xf>
    <xf numFmtId="0" fontId="0" fillId="5" borderId="0" xfId="0" applyFill="1"/>
    <xf numFmtId="0" fontId="0" fillId="2" borderId="0" xfId="0" applyFill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2" fillId="0" borderId="11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/>
    </xf>
    <xf numFmtId="10" fontId="7" fillId="2" borderId="0" xfId="1" applyNumberFormat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left" vertical="top"/>
    </xf>
    <xf numFmtId="10" fontId="7" fillId="2" borderId="0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1" fontId="9" fillId="2" borderId="0" xfId="1" applyNumberFormat="1" applyFont="1" applyFill="1" applyBorder="1" applyAlignment="1"/>
    <xf numFmtId="1" fontId="9" fillId="2" borderId="0" xfId="1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2" fontId="7" fillId="2" borderId="15" xfId="1" applyNumberFormat="1" applyFont="1" applyFill="1" applyBorder="1" applyAlignment="1">
      <alignment horizontal="left" vertical="center"/>
    </xf>
    <xf numFmtId="10" fontId="7" fillId="2" borderId="16" xfId="1" applyNumberFormat="1" applyFont="1" applyFill="1" applyBorder="1" applyAlignment="1">
      <alignment horizontal="center" vertical="top"/>
    </xf>
    <xf numFmtId="0" fontId="8" fillId="2" borderId="16" xfId="1" applyFont="1" applyFill="1" applyBorder="1" applyAlignment="1">
      <alignment horizontal="left" vertical="top"/>
    </xf>
    <xf numFmtId="10" fontId="7" fillId="2" borderId="16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left" vertical="center"/>
    </xf>
    <xf numFmtId="1" fontId="9" fillId="2" borderId="16" xfId="1" applyNumberFormat="1" applyFont="1" applyFill="1" applyBorder="1" applyAlignment="1"/>
    <xf numFmtId="1" fontId="9" fillId="2" borderId="16" xfId="1" applyNumberFormat="1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17" xfId="2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2" fontId="13" fillId="2" borderId="22" xfId="1" applyNumberFormat="1" applyFont="1" applyFill="1" applyBorder="1" applyAlignment="1">
      <alignment horizontal="center" vertical="center"/>
    </xf>
    <xf numFmtId="10" fontId="14" fillId="2" borderId="22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10" fontId="14" fillId="2" borderId="0" xfId="1" applyNumberFormat="1" applyFont="1" applyFill="1" applyBorder="1" applyAlignment="1">
      <alignment horizontal="center" vertical="center"/>
    </xf>
    <xf numFmtId="0" fontId="14" fillId="2" borderId="22" xfId="1" applyNumberFormat="1" applyFont="1" applyFill="1" applyBorder="1" applyAlignment="1">
      <alignment horizontal="center" vertical="center"/>
    </xf>
    <xf numFmtId="0" fontId="14" fillId="2" borderId="23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3" fillId="2" borderId="24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2" fontId="16" fillId="2" borderId="0" xfId="1" applyNumberFormat="1" applyFont="1" applyFill="1" applyBorder="1" applyAlignment="1">
      <alignment horizontal="center"/>
    </xf>
    <xf numFmtId="0" fontId="0" fillId="9" borderId="0" xfId="0" applyFill="1"/>
    <xf numFmtId="2" fontId="0" fillId="0" borderId="0" xfId="0" applyNumberFormat="1"/>
    <xf numFmtId="1" fontId="0" fillId="2" borderId="0" xfId="0" applyNumberFormat="1" applyFont="1" applyFill="1"/>
    <xf numFmtId="1" fontId="11" fillId="2" borderId="0" xfId="1" applyNumberFormat="1" applyFont="1" applyFill="1" applyBorder="1" applyAlignment="1">
      <alignment horizontal="center"/>
    </xf>
    <xf numFmtId="1" fontId="12" fillId="8" borderId="18" xfId="1" applyNumberFormat="1" applyFont="1" applyFill="1" applyBorder="1" applyAlignment="1">
      <alignment horizontal="center" vertical="center"/>
    </xf>
    <xf numFmtId="1" fontId="12" fillId="8" borderId="19" xfId="1" applyNumberFormat="1" applyFont="1" applyFill="1" applyBorder="1" applyAlignment="1">
      <alignment horizontal="center" vertical="center"/>
    </xf>
    <xf numFmtId="1" fontId="12" fillId="8" borderId="20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11" xfId="0" applyFont="1" applyFill="1" applyBorder="1" applyAlignment="1">
      <alignment horizontal="center" vertical="center"/>
    </xf>
    <xf numFmtId="0" fontId="2" fillId="0" borderId="0" xfId="0" applyFont="1"/>
    <xf numFmtId="0" fontId="19" fillId="0" borderId="0" xfId="0" applyFont="1"/>
    <xf numFmtId="22" fontId="3" fillId="2" borderId="0" xfId="0" applyNumberFormat="1" applyFont="1" applyFill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22" fontId="21" fillId="11" borderId="27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22" fontId="23" fillId="11" borderId="27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0" fontId="18" fillId="2" borderId="0" xfId="3" applyFont="1" applyFill="1" applyAlignment="1" applyProtection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center" vertical="center"/>
    </xf>
    <xf numFmtId="0" fontId="0" fillId="10" borderId="0" xfId="0" applyFill="1"/>
    <xf numFmtId="3" fontId="0" fillId="0" borderId="11" xfId="0" applyNumberFormat="1" applyBorder="1"/>
    <xf numFmtId="2" fontId="0" fillId="0" borderId="11" xfId="0" applyNumberFormat="1" applyBorder="1"/>
    <xf numFmtId="0" fontId="24" fillId="0" borderId="11" xfId="0" applyFont="1" applyBorder="1" applyAlignment="1">
      <alignment horizontal="center"/>
    </xf>
    <xf numFmtId="4" fontId="0" fillId="0" borderId="0" xfId="0" applyNumberFormat="1"/>
    <xf numFmtId="0" fontId="2" fillId="12" borderId="11" xfId="0" applyFont="1" applyFill="1" applyBorder="1" applyAlignment="1">
      <alignment horizontal="center"/>
    </xf>
    <xf numFmtId="164" fontId="5" fillId="2" borderId="21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22" fontId="22" fillId="11" borderId="28" xfId="0" applyNumberFormat="1" applyFont="1" applyFill="1" applyBorder="1" applyAlignment="1">
      <alignment horizontal="center" vertical="center" wrapText="1"/>
    </xf>
    <xf numFmtId="22" fontId="22" fillId="11" borderId="29" xfId="0" applyNumberFormat="1" applyFont="1" applyFill="1" applyBorder="1" applyAlignment="1">
      <alignment horizontal="center" vertical="center" wrapText="1"/>
    </xf>
    <xf numFmtId="22" fontId="22" fillId="11" borderId="30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3" fontId="25" fillId="0" borderId="0" xfId="0" applyNumberFormat="1" applyFont="1"/>
    <xf numFmtId="0" fontId="25" fillId="0" borderId="0" xfId="0" applyFont="1"/>
    <xf numFmtId="2" fontId="2" fillId="14" borderId="11" xfId="0" applyNumberFormat="1" applyFont="1" applyFill="1" applyBorder="1"/>
    <xf numFmtId="2" fontId="2" fillId="14" borderId="11" xfId="0" applyNumberFormat="1" applyFont="1" applyFill="1" applyBorder="1" applyAlignment="1">
      <alignment horizontal="right"/>
    </xf>
    <xf numFmtId="0" fontId="20" fillId="13" borderId="11" xfId="0" applyFont="1" applyFill="1" applyBorder="1"/>
  </cellXfs>
  <cellStyles count="4">
    <cellStyle name="%" xfId="1"/>
    <cellStyle name="Hyperlink" xfId="3" builtinId="8"/>
    <cellStyle name="Normal" xfId="0" builtinId="0"/>
    <cellStyle name="Normal 2" xfId="2"/>
  </cellStyles>
  <dxfs count="34">
    <dxf>
      <fill>
        <gradientFill degree="90">
          <stop position="0">
            <color rgb="FF00B0F0"/>
          </stop>
          <stop position="0.5">
            <color theme="4" tint="0.40000610370189521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gradientFill degree="90">
          <stop position="0">
            <color rgb="FF00B0F0"/>
          </stop>
          <stop position="0.5">
            <color theme="4" tint="0.40000610370189521"/>
          </stop>
          <stop position="1">
            <color rgb="FF00B0F0"/>
          </stop>
        </gradientFill>
      </fill>
    </dxf>
    <dxf>
      <fill>
        <gradientFill degree="90">
          <stop position="0">
            <color rgb="FF00B0F0"/>
          </stop>
          <stop position="0.5">
            <color theme="4" tint="0.40000610370189521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gradientFill degree="45">
          <stop position="0">
            <color theme="2" tint="-0.49803155613879818"/>
          </stop>
          <stop position="0.5">
            <color theme="2" tint="-0.25098422193060094"/>
          </stop>
          <stop position="1">
            <color theme="2" tint="-0.49803155613879818"/>
          </stop>
        </gradientFill>
      </fill>
    </dxf>
    <dxf>
      <fill>
        <gradientFill degree="45">
          <stop position="0">
            <color rgb="FF00B0F0"/>
          </stop>
          <stop position="0.5">
            <color theme="4" tint="0.80001220740379042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theme="6" tint="0.59999389629810485"/>
          </stop>
          <stop position="0.5">
            <color theme="6" tint="0.80001220740379042"/>
          </stop>
          <stop position="1">
            <color theme="6" tint="0.59999389629810485"/>
          </stop>
        </gradientFill>
      </fill>
    </dxf>
    <dxf>
      <font>
        <b val="0"/>
        <i val="0"/>
      </font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3300"/>
          </stop>
          <stop position="1">
            <color theme="0"/>
          </stop>
        </gradientFill>
      </fill>
    </dxf>
    <dxf>
      <fill>
        <gradientFill degree="90">
          <stop position="0">
            <color theme="6" tint="-0.25098422193060094"/>
          </stop>
          <stop position="0.5">
            <color theme="0"/>
          </stop>
          <stop position="1">
            <color theme="6" tint="-0.25098422193060094"/>
          </stop>
        </gradientFill>
      </fill>
    </dxf>
    <dxf>
      <fill>
        <gradientFill degree="90">
          <stop position="0">
            <color theme="9" tint="0.40000610370189521"/>
          </stop>
          <stop position="0.5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7" tint="0.40000610370189521"/>
          </stop>
          <stop position="0.5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00B0F0"/>
          </stop>
          <stop position="0.5">
            <color theme="4" tint="0.40000610370189521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gradientFill degree="90">
          <stop position="0">
            <color rgb="FF00B0F0"/>
          </stop>
          <stop position="0.5">
            <color theme="4" tint="0.40000610370189521"/>
          </stop>
          <stop position="1">
            <color rgb="FF00B0F0"/>
          </stop>
        </gradientFill>
      </fill>
    </dxf>
    <dxf>
      <fill>
        <gradientFill degree="90">
          <stop position="0">
            <color rgb="FF00B0F0"/>
          </stop>
          <stop position="0.5">
            <color theme="4" tint="0.40000610370189521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gradientFill degree="45">
          <stop position="0">
            <color theme="2" tint="-0.49803155613879818"/>
          </stop>
          <stop position="0.5">
            <color theme="2" tint="-0.25098422193060094"/>
          </stop>
          <stop position="1">
            <color theme="2" tint="-0.49803155613879818"/>
          </stop>
        </gradientFill>
      </fill>
    </dxf>
    <dxf>
      <fill>
        <gradientFill degree="45">
          <stop position="0">
            <color rgb="FF00B0F0"/>
          </stop>
          <stop position="0.5">
            <color theme="4" tint="0.80001220740379042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theme="6" tint="0.59999389629810485"/>
          </stop>
          <stop position="0.5">
            <color theme="6" tint="0.80001220740379042"/>
          </stop>
          <stop position="1">
            <color theme="6" tint="0.59999389629810485"/>
          </stop>
        </gradientFill>
      </fill>
    </dxf>
    <dxf>
      <font>
        <b val="0"/>
        <i val="0"/>
      </font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3300"/>
          </stop>
          <stop position="1">
            <color theme="0"/>
          </stop>
        </gradientFill>
      </fill>
    </dxf>
    <dxf>
      <fill>
        <gradientFill degree="90">
          <stop position="0">
            <color theme="6" tint="-0.25098422193060094"/>
          </stop>
          <stop position="0.5">
            <color theme="0"/>
          </stop>
          <stop position="1">
            <color theme="6" tint="-0.25098422193060094"/>
          </stop>
        </gradientFill>
      </fill>
    </dxf>
    <dxf>
      <fill>
        <gradientFill degree="90">
          <stop position="0">
            <color theme="9" tint="0.40000610370189521"/>
          </stop>
          <stop position="0.5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7" tint="0.40000610370189521"/>
          </stop>
          <stop position="0.5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colors>
    <mruColors>
      <color rgb="FFFF66FF"/>
      <color rgb="FF9ED02E"/>
      <color rgb="FFB2F608"/>
      <color rgb="FF89E816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22220461878882"/>
          <c:y val="5.0870651477843823E-2"/>
          <c:w val="0.64963027508886795"/>
          <c:h val="0.89825869704431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'MAIN OI'!$I$5</c:f>
              <c:strCache>
                <c:ptCount val="1"/>
                <c:pt idx="0">
                  <c:v>Call change in OI</c:v>
                </c:pt>
              </c:strCache>
            </c:strRef>
          </c:tx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OI'!$I$6:$I$21</c:f>
              <c:numCache>
                <c:formatCode>General</c:formatCode>
                <c:ptCount val="16"/>
                <c:pt idx="0">
                  <c:v>-51975</c:v>
                </c:pt>
                <c:pt idx="1">
                  <c:v>-111750</c:v>
                </c:pt>
                <c:pt idx="2">
                  <c:v>-131175</c:v>
                </c:pt>
                <c:pt idx="3">
                  <c:v>-66975</c:v>
                </c:pt>
                <c:pt idx="4">
                  <c:v>-96375</c:v>
                </c:pt>
                <c:pt idx="5">
                  <c:v>-65100</c:v>
                </c:pt>
                <c:pt idx="6">
                  <c:v>-152325</c:v>
                </c:pt>
                <c:pt idx="7">
                  <c:v>-91500</c:v>
                </c:pt>
                <c:pt idx="8">
                  <c:v>-227850</c:v>
                </c:pt>
                <c:pt idx="9">
                  <c:v>78075</c:v>
                </c:pt>
                <c:pt idx="10">
                  <c:v>-1215225</c:v>
                </c:pt>
                <c:pt idx="11">
                  <c:v>-192000</c:v>
                </c:pt>
                <c:pt idx="12">
                  <c:v>-29400</c:v>
                </c:pt>
                <c:pt idx="13">
                  <c:v>900</c:v>
                </c:pt>
                <c:pt idx="14">
                  <c:v>-25050</c:v>
                </c:pt>
                <c:pt idx="1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B-4823-BFB9-8E07FC119DF2}"/>
            </c:ext>
          </c:extLst>
        </c:ser>
        <c:ser>
          <c:idx val="1"/>
          <c:order val="1"/>
          <c:tx>
            <c:strRef>
              <c:f>'MAIN OI'!$G$5</c:f>
              <c:strCache>
                <c:ptCount val="1"/>
                <c:pt idx="0">
                  <c:v>Call Volume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OI'!$G$6:$G$21</c:f>
              <c:numCache>
                <c:formatCode>General</c:formatCode>
                <c:ptCount val="16"/>
                <c:pt idx="0">
                  <c:v>915</c:v>
                </c:pt>
                <c:pt idx="1">
                  <c:v>2119</c:v>
                </c:pt>
                <c:pt idx="2">
                  <c:v>2523</c:v>
                </c:pt>
                <c:pt idx="3">
                  <c:v>1316</c:v>
                </c:pt>
                <c:pt idx="4">
                  <c:v>3687</c:v>
                </c:pt>
                <c:pt idx="5">
                  <c:v>1752</c:v>
                </c:pt>
                <c:pt idx="6">
                  <c:v>8067</c:v>
                </c:pt>
                <c:pt idx="7">
                  <c:v>144472</c:v>
                </c:pt>
                <c:pt idx="8">
                  <c:v>816526</c:v>
                </c:pt>
                <c:pt idx="9">
                  <c:v>633479</c:v>
                </c:pt>
                <c:pt idx="10">
                  <c:v>188857</c:v>
                </c:pt>
                <c:pt idx="11">
                  <c:v>34075</c:v>
                </c:pt>
                <c:pt idx="12">
                  <c:v>3728</c:v>
                </c:pt>
                <c:pt idx="13">
                  <c:v>1234</c:v>
                </c:pt>
                <c:pt idx="14">
                  <c:v>3094</c:v>
                </c:pt>
                <c:pt idx="15">
                  <c:v>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B-4823-BFB9-8E07FC119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611072"/>
        <c:axId val="157701248"/>
        <c:axId val="0"/>
      </c:bar3DChart>
      <c:catAx>
        <c:axId val="1546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7701248"/>
        <c:crosses val="autoZero"/>
        <c:auto val="1"/>
        <c:lblAlgn val="ctr"/>
        <c:lblOffset val="100"/>
        <c:noMultiLvlLbl val="0"/>
      </c:catAx>
      <c:valAx>
        <c:axId val="15770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5461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4F81BD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22220461878882"/>
          <c:y val="5.0870651477843823E-2"/>
          <c:w val="0.64963027508886828"/>
          <c:h val="0.89825869704431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'MAIN OI'!$O$5</c:f>
              <c:strCache>
                <c:ptCount val="1"/>
                <c:pt idx="0">
                  <c:v>Put Change in OI</c:v>
                </c:pt>
              </c:strCache>
            </c:strRef>
          </c:tx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OI'!$O$6:$O$21</c:f>
              <c:numCache>
                <c:formatCode>General</c:formatCode>
                <c:ptCount val="16"/>
                <c:pt idx="0">
                  <c:v>-10125</c:v>
                </c:pt>
                <c:pt idx="1">
                  <c:v>-99600</c:v>
                </c:pt>
                <c:pt idx="2">
                  <c:v>-126300</c:v>
                </c:pt>
                <c:pt idx="3">
                  <c:v>-26100</c:v>
                </c:pt>
                <c:pt idx="4">
                  <c:v>-307725</c:v>
                </c:pt>
                <c:pt idx="5">
                  <c:v>-142575</c:v>
                </c:pt>
                <c:pt idx="6">
                  <c:v>-451575</c:v>
                </c:pt>
                <c:pt idx="7">
                  <c:v>-533175</c:v>
                </c:pt>
                <c:pt idx="8">
                  <c:v>-1110225</c:v>
                </c:pt>
                <c:pt idx="9">
                  <c:v>-477000</c:v>
                </c:pt>
                <c:pt idx="10">
                  <c:v>-109500</c:v>
                </c:pt>
                <c:pt idx="11">
                  <c:v>-8325</c:v>
                </c:pt>
                <c:pt idx="12">
                  <c:v>-1500</c:v>
                </c:pt>
                <c:pt idx="13">
                  <c:v>-20925</c:v>
                </c:pt>
                <c:pt idx="14">
                  <c:v>-67875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6-4150-8FBE-A28692F9C41E}"/>
            </c:ext>
          </c:extLst>
        </c:ser>
        <c:ser>
          <c:idx val="1"/>
          <c:order val="1"/>
          <c:tx>
            <c:strRef>
              <c:f>'MAIN OI'!$Q$5</c:f>
              <c:strCache>
                <c:ptCount val="1"/>
                <c:pt idx="0">
                  <c:v>Put Volume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OI'!$Q$6:$Q$21</c:f>
              <c:numCache>
                <c:formatCode>General</c:formatCode>
                <c:ptCount val="16"/>
                <c:pt idx="0">
                  <c:v>6416</c:v>
                </c:pt>
                <c:pt idx="1">
                  <c:v>12664</c:v>
                </c:pt>
                <c:pt idx="2">
                  <c:v>16809</c:v>
                </c:pt>
                <c:pt idx="3">
                  <c:v>63717</c:v>
                </c:pt>
                <c:pt idx="4">
                  <c:v>129201</c:v>
                </c:pt>
                <c:pt idx="5">
                  <c:v>194032</c:v>
                </c:pt>
                <c:pt idx="6">
                  <c:v>342099</c:v>
                </c:pt>
                <c:pt idx="7">
                  <c:v>668026</c:v>
                </c:pt>
                <c:pt idx="8">
                  <c:v>706199</c:v>
                </c:pt>
                <c:pt idx="9">
                  <c:v>121726</c:v>
                </c:pt>
                <c:pt idx="10">
                  <c:v>8603</c:v>
                </c:pt>
                <c:pt idx="11">
                  <c:v>720</c:v>
                </c:pt>
                <c:pt idx="12">
                  <c:v>95</c:v>
                </c:pt>
                <c:pt idx="13">
                  <c:v>454</c:v>
                </c:pt>
                <c:pt idx="14">
                  <c:v>1524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6-4150-8FBE-A28692F9C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730688"/>
        <c:axId val="157732224"/>
        <c:axId val="0"/>
      </c:bar3DChart>
      <c:catAx>
        <c:axId val="1577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7732224"/>
        <c:crosses val="autoZero"/>
        <c:auto val="1"/>
        <c:lblAlgn val="ctr"/>
        <c:lblOffset val="100"/>
        <c:noMultiLvlLbl val="0"/>
      </c:catAx>
      <c:valAx>
        <c:axId val="15773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5773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4F81BD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22220461878882"/>
          <c:y val="5.0870651477843823E-2"/>
          <c:w val="0.64963027508886795"/>
          <c:h val="0.89825869704431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'MAIN OI'!$I$5</c:f>
              <c:strCache>
                <c:ptCount val="1"/>
                <c:pt idx="0">
                  <c:v>Call change in OI</c:v>
                </c:pt>
              </c:strCache>
            </c:strRef>
          </c:tx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OI'!$I$6:$I$21</c:f>
              <c:numCache>
                <c:formatCode>General</c:formatCode>
                <c:ptCount val="16"/>
                <c:pt idx="0">
                  <c:v>-51975</c:v>
                </c:pt>
                <c:pt idx="1">
                  <c:v>-111750</c:v>
                </c:pt>
                <c:pt idx="2">
                  <c:v>-131175</c:v>
                </c:pt>
                <c:pt idx="3">
                  <c:v>-66975</c:v>
                </c:pt>
                <c:pt idx="4">
                  <c:v>-96375</c:v>
                </c:pt>
                <c:pt idx="5">
                  <c:v>-65100</c:v>
                </c:pt>
                <c:pt idx="6">
                  <c:v>-152325</c:v>
                </c:pt>
                <c:pt idx="7">
                  <c:v>-91500</c:v>
                </c:pt>
                <c:pt idx="8">
                  <c:v>-227850</c:v>
                </c:pt>
                <c:pt idx="9">
                  <c:v>78075</c:v>
                </c:pt>
                <c:pt idx="10">
                  <c:v>-1215225</c:v>
                </c:pt>
                <c:pt idx="11">
                  <c:v>-192000</c:v>
                </c:pt>
                <c:pt idx="12">
                  <c:v>-29400</c:v>
                </c:pt>
                <c:pt idx="13">
                  <c:v>900</c:v>
                </c:pt>
                <c:pt idx="14">
                  <c:v>-25050</c:v>
                </c:pt>
                <c:pt idx="1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8-4FA9-961E-C7B47641893A}"/>
            </c:ext>
          </c:extLst>
        </c:ser>
        <c:ser>
          <c:idx val="1"/>
          <c:order val="1"/>
          <c:tx>
            <c:strRef>
              <c:f>'MAIN OI'!$G$5</c:f>
              <c:strCache>
                <c:ptCount val="1"/>
                <c:pt idx="0">
                  <c:v>Call Volume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OI'!$G$6:$G$21</c:f>
              <c:numCache>
                <c:formatCode>General</c:formatCode>
                <c:ptCount val="16"/>
                <c:pt idx="0">
                  <c:v>915</c:v>
                </c:pt>
                <c:pt idx="1">
                  <c:v>2119</c:v>
                </c:pt>
                <c:pt idx="2">
                  <c:v>2523</c:v>
                </c:pt>
                <c:pt idx="3">
                  <c:v>1316</c:v>
                </c:pt>
                <c:pt idx="4">
                  <c:v>3687</c:v>
                </c:pt>
                <c:pt idx="5">
                  <c:v>1752</c:v>
                </c:pt>
                <c:pt idx="6">
                  <c:v>8067</c:v>
                </c:pt>
                <c:pt idx="7">
                  <c:v>144472</c:v>
                </c:pt>
                <c:pt idx="8">
                  <c:v>816526</c:v>
                </c:pt>
                <c:pt idx="9">
                  <c:v>633479</c:v>
                </c:pt>
                <c:pt idx="10">
                  <c:v>188857</c:v>
                </c:pt>
                <c:pt idx="11">
                  <c:v>34075</c:v>
                </c:pt>
                <c:pt idx="12">
                  <c:v>3728</c:v>
                </c:pt>
                <c:pt idx="13">
                  <c:v>1234</c:v>
                </c:pt>
                <c:pt idx="14">
                  <c:v>3094</c:v>
                </c:pt>
                <c:pt idx="15">
                  <c:v>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8-4FA9-961E-C7B476418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611072"/>
        <c:axId val="157701248"/>
        <c:axId val="0"/>
      </c:bar3DChart>
      <c:catAx>
        <c:axId val="1546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7701248"/>
        <c:crosses val="autoZero"/>
        <c:auto val="1"/>
        <c:lblAlgn val="ctr"/>
        <c:lblOffset val="100"/>
        <c:noMultiLvlLbl val="0"/>
      </c:catAx>
      <c:valAx>
        <c:axId val="15770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5461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4F81BD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22220461878882"/>
          <c:y val="5.0870651477843823E-2"/>
          <c:w val="0.64963027508886828"/>
          <c:h val="0.89825869704431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'MAIN OI'!$O$5</c:f>
              <c:strCache>
                <c:ptCount val="1"/>
                <c:pt idx="0">
                  <c:v>Put Change in OI</c:v>
                </c:pt>
              </c:strCache>
            </c:strRef>
          </c:tx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OI'!$O$6:$O$21</c:f>
              <c:numCache>
                <c:formatCode>General</c:formatCode>
                <c:ptCount val="16"/>
                <c:pt idx="0">
                  <c:v>-10125</c:v>
                </c:pt>
                <c:pt idx="1">
                  <c:v>-99600</c:v>
                </c:pt>
                <c:pt idx="2">
                  <c:v>-126300</c:v>
                </c:pt>
                <c:pt idx="3">
                  <c:v>-26100</c:v>
                </c:pt>
                <c:pt idx="4">
                  <c:v>-307725</c:v>
                </c:pt>
                <c:pt idx="5">
                  <c:v>-142575</c:v>
                </c:pt>
                <c:pt idx="6">
                  <c:v>-451575</c:v>
                </c:pt>
                <c:pt idx="7">
                  <c:v>-533175</c:v>
                </c:pt>
                <c:pt idx="8">
                  <c:v>-1110225</c:v>
                </c:pt>
                <c:pt idx="9">
                  <c:v>-477000</c:v>
                </c:pt>
                <c:pt idx="10">
                  <c:v>-109500</c:v>
                </c:pt>
                <c:pt idx="11">
                  <c:v>-8325</c:v>
                </c:pt>
                <c:pt idx="12">
                  <c:v>-1500</c:v>
                </c:pt>
                <c:pt idx="13">
                  <c:v>-20925</c:v>
                </c:pt>
                <c:pt idx="14">
                  <c:v>-67875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4-4E50-BB1F-9C767913B70B}"/>
            </c:ext>
          </c:extLst>
        </c:ser>
        <c:ser>
          <c:idx val="1"/>
          <c:order val="1"/>
          <c:tx>
            <c:strRef>
              <c:f>'MAIN OI'!$Q$5</c:f>
              <c:strCache>
                <c:ptCount val="1"/>
                <c:pt idx="0">
                  <c:v>Put Volume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'MAIN OI'!$L$6:$L$21</c:f>
              <c:numCache>
                <c:formatCode>General</c:formatCode>
                <c:ptCount val="16"/>
                <c:pt idx="0">
                  <c:v>8600</c:v>
                </c:pt>
                <c:pt idx="1">
                  <c:v>8700</c:v>
                </c:pt>
                <c:pt idx="2">
                  <c:v>8800</c:v>
                </c:pt>
                <c:pt idx="3">
                  <c:v>8900</c:v>
                </c:pt>
                <c:pt idx="4">
                  <c:v>9000</c:v>
                </c:pt>
                <c:pt idx="5">
                  <c:v>9100</c:v>
                </c:pt>
                <c:pt idx="6">
                  <c:v>9200</c:v>
                </c:pt>
                <c:pt idx="7">
                  <c:v>9300</c:v>
                </c:pt>
                <c:pt idx="8">
                  <c:v>9400</c:v>
                </c:pt>
                <c:pt idx="9">
                  <c:v>9500</c:v>
                </c:pt>
                <c:pt idx="10">
                  <c:v>9600</c:v>
                </c:pt>
                <c:pt idx="11">
                  <c:v>9700</c:v>
                </c:pt>
                <c:pt idx="12">
                  <c:v>9800</c:v>
                </c:pt>
                <c:pt idx="13">
                  <c:v>9900</c:v>
                </c:pt>
                <c:pt idx="14">
                  <c:v>10000</c:v>
                </c:pt>
                <c:pt idx="15">
                  <c:v>10100</c:v>
                </c:pt>
              </c:numCache>
            </c:numRef>
          </c:cat>
          <c:val>
            <c:numRef>
              <c:f>'MAIN OI'!$Q$6:$Q$21</c:f>
              <c:numCache>
                <c:formatCode>General</c:formatCode>
                <c:ptCount val="16"/>
                <c:pt idx="0">
                  <c:v>6416</c:v>
                </c:pt>
                <c:pt idx="1">
                  <c:v>12664</c:v>
                </c:pt>
                <c:pt idx="2">
                  <c:v>16809</c:v>
                </c:pt>
                <c:pt idx="3">
                  <c:v>63717</c:v>
                </c:pt>
                <c:pt idx="4">
                  <c:v>129201</c:v>
                </c:pt>
                <c:pt idx="5">
                  <c:v>194032</c:v>
                </c:pt>
                <c:pt idx="6">
                  <c:v>342099</c:v>
                </c:pt>
                <c:pt idx="7">
                  <c:v>668026</c:v>
                </c:pt>
                <c:pt idx="8">
                  <c:v>706199</c:v>
                </c:pt>
                <c:pt idx="9">
                  <c:v>121726</c:v>
                </c:pt>
                <c:pt idx="10">
                  <c:v>8603</c:v>
                </c:pt>
                <c:pt idx="11">
                  <c:v>720</c:v>
                </c:pt>
                <c:pt idx="12">
                  <c:v>95</c:v>
                </c:pt>
                <c:pt idx="13">
                  <c:v>454</c:v>
                </c:pt>
                <c:pt idx="14">
                  <c:v>1524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4-4E50-BB1F-9C767913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730688"/>
        <c:axId val="157732224"/>
        <c:axId val="0"/>
      </c:bar3DChart>
      <c:catAx>
        <c:axId val="1577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7732224"/>
        <c:crosses val="autoZero"/>
        <c:auto val="1"/>
        <c:lblAlgn val="ctr"/>
        <c:lblOffset val="100"/>
        <c:noMultiLvlLbl val="0"/>
      </c:catAx>
      <c:valAx>
        <c:axId val="15773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5773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4F81BD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1185334</xdr:colOff>
      <xdr:row>75</xdr:row>
      <xdr:rowOff>158750</xdr:rowOff>
    </xdr:from>
    <xdr:to>
      <xdr:col>11</xdr:col>
      <xdr:colOff>328083</xdr:colOff>
      <xdr:row>90</xdr:row>
      <xdr:rowOff>42335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76</xdr:row>
      <xdr:rowOff>57149</xdr:rowOff>
    </xdr:from>
    <xdr:to>
      <xdr:col>19</xdr:col>
      <xdr:colOff>228599</xdr:colOff>
      <xdr:row>90</xdr:row>
      <xdr:rowOff>104774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1185334</xdr:colOff>
      <xdr:row>75</xdr:row>
      <xdr:rowOff>158750</xdr:rowOff>
    </xdr:from>
    <xdr:to>
      <xdr:col>11</xdr:col>
      <xdr:colOff>328083</xdr:colOff>
      <xdr:row>90</xdr:row>
      <xdr:rowOff>42335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76</xdr:row>
      <xdr:rowOff>57149</xdr:rowOff>
    </xdr:from>
    <xdr:to>
      <xdr:col>19</xdr:col>
      <xdr:colOff>228599</xdr:colOff>
      <xdr:row>90</xdr:row>
      <xdr:rowOff>104774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ptionKeys.jsp?symbolCode=-10006&amp;symbol=NIFTY&amp;symbol=NIFTY&amp;instrument=-&amp;date=-&amp;segmentLink=17&amp;symbolCount=2&amp;segmentLink=17" refreshOnLoad="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optionKeys.jsp?symbolCode=-9999&amp;symbol=BANKNIFTY&amp;symbol=BANKNIFTY&amp;instrument=-&amp;date=-&amp;segmentLink=17&amp;symbolCount=2&amp;segmentLink=17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workbookViewId="0">
      <selection activeCell="H27" sqref="H27"/>
    </sheetView>
  </sheetViews>
  <sheetFormatPr defaultRowHeight="14.35" x14ac:dyDescent="0.5"/>
  <cols>
    <col min="1" max="1" width="11.29296875" bestFit="1" customWidth="1"/>
    <col min="2" max="2" width="18.8203125" bestFit="1" customWidth="1"/>
    <col min="3" max="3" width="12.17578125" customWidth="1"/>
    <col min="4" max="4" width="13.8203125" bestFit="1" customWidth="1"/>
    <col min="5" max="6" width="13.8203125" customWidth="1"/>
    <col min="9" max="9" width="23.9375" bestFit="1" customWidth="1"/>
    <col min="10" max="10" width="10.703125" bestFit="1" customWidth="1"/>
    <col min="11" max="11" width="14.41015625" customWidth="1"/>
  </cols>
  <sheetData>
    <row r="1" spans="1:11" x14ac:dyDescent="0.5">
      <c r="A1" s="82" t="s">
        <v>26</v>
      </c>
      <c r="B1" s="82" t="s">
        <v>27</v>
      </c>
      <c r="C1" s="82" t="s">
        <v>28</v>
      </c>
      <c r="D1" s="82" t="s">
        <v>29</v>
      </c>
      <c r="E1" s="82" t="s">
        <v>30</v>
      </c>
      <c r="F1" s="82" t="s">
        <v>31</v>
      </c>
      <c r="G1" s="82" t="s">
        <v>27</v>
      </c>
    </row>
    <row r="2" spans="1:11" x14ac:dyDescent="0.5">
      <c r="A2" s="78">
        <f>'MAIN OI'!H6</f>
        <v>161925</v>
      </c>
      <c r="B2" s="80">
        <f>'MAIN OI'!L6</f>
        <v>8600</v>
      </c>
      <c r="C2" s="78">
        <f>'MAIN OI'!P6</f>
        <v>956100</v>
      </c>
      <c r="D2" s="78">
        <f>IFERROR($B2*SUM(A2:$A$2)-SUMPRODUCT($B2:B$2,$A2:A$2),0)</f>
        <v>0</v>
      </c>
      <c r="E2" s="78">
        <f>IFERROR(SUMPRODUCT($B2:B$14,$C2:C$14)-$B2*SUM($C2:C$14),0)</f>
        <v>14286915000</v>
      </c>
      <c r="F2" s="78">
        <f>SUM(D2:E2)</f>
        <v>14286915000</v>
      </c>
      <c r="G2" s="79">
        <f>B2</f>
        <v>8600</v>
      </c>
    </row>
    <row r="3" spans="1:11" x14ac:dyDescent="0.5">
      <c r="A3" s="78">
        <f>'MAIN OI'!H7</f>
        <v>86925</v>
      </c>
      <c r="B3" s="80">
        <f>'MAIN OI'!L7</f>
        <v>8700</v>
      </c>
      <c r="C3" s="78">
        <f>'MAIN OI'!P7</f>
        <v>1058475</v>
      </c>
      <c r="D3" s="78">
        <f>IFERROR($B3*SUM(A$2:$A3)-SUMPRODUCT($B$2:B3,$A$2:A3),0)</f>
        <v>16192500</v>
      </c>
      <c r="E3" s="78">
        <f>IFERROR(SUMPRODUCT($B3:B$14,$C3:C$14)-$B3*SUM($C3:C$14),0)</f>
        <v>11643975000</v>
      </c>
      <c r="F3" s="78">
        <f t="shared" ref="F3:F14" si="0">SUM(D3:E3)</f>
        <v>11660167500</v>
      </c>
      <c r="G3" s="79">
        <f t="shared" ref="G3:G14" si="1">B3</f>
        <v>8700</v>
      </c>
    </row>
    <row r="4" spans="1:11" x14ac:dyDescent="0.5">
      <c r="A4" s="78">
        <f>'MAIN OI'!H8</f>
        <v>139575</v>
      </c>
      <c r="B4" s="80">
        <f>'MAIN OI'!L8</f>
        <v>8800</v>
      </c>
      <c r="C4" s="78">
        <f>'MAIN OI'!P8</f>
        <v>1569000</v>
      </c>
      <c r="D4" s="78">
        <f>IFERROR($B4*SUM(A$2:$A4)-SUMPRODUCT($B$2:B4,$A$2:A4),0)</f>
        <v>41077500</v>
      </c>
      <c r="E4" s="78">
        <f>IFERROR(SUMPRODUCT($B4:B$14,$C4:C$14)-$B4*SUM($C4:C$14),0)</f>
        <v>9106882500</v>
      </c>
      <c r="F4" s="78">
        <f t="shared" si="0"/>
        <v>9147960000</v>
      </c>
      <c r="G4" s="79">
        <f t="shared" si="1"/>
        <v>8800</v>
      </c>
      <c r="I4" s="100" t="s">
        <v>58</v>
      </c>
      <c r="J4" s="98">
        <f>C18/A18</f>
        <v>1.22395161103019</v>
      </c>
    </row>
    <row r="5" spans="1:11" x14ac:dyDescent="0.5">
      <c r="A5" s="78">
        <f>'MAIN OI'!H9</f>
        <v>216150</v>
      </c>
      <c r="B5" s="80">
        <f>'MAIN OI'!L9</f>
        <v>8900</v>
      </c>
      <c r="C5" s="78">
        <f>'MAIN OI'!P9</f>
        <v>2579700</v>
      </c>
      <c r="D5" s="78">
        <f>IFERROR($B5*SUM(A$2:$A5)-SUMPRODUCT($B$2:B5,$A$2:A5),0)</f>
        <v>79920000</v>
      </c>
      <c r="E5" s="78">
        <f>IFERROR(SUMPRODUCT($B5:B$14,$C5:C$14)-$B5*SUM($C5:C$14),0)</f>
        <v>6726690000</v>
      </c>
      <c r="F5" s="78">
        <f t="shared" si="0"/>
        <v>6806610000</v>
      </c>
      <c r="G5" s="79">
        <f t="shared" si="1"/>
        <v>8900</v>
      </c>
      <c r="I5" s="100" t="s">
        <v>59</v>
      </c>
      <c r="J5" s="99" t="str">
        <f>IF(J4&gt;1,"Bullish",IF(J4&lt;0.5,"Bearish","Sideways"))</f>
        <v>Bullish</v>
      </c>
    </row>
    <row r="6" spans="1:11" x14ac:dyDescent="0.5">
      <c r="A6" s="78">
        <f>'MAIN OI'!H10</f>
        <v>299625</v>
      </c>
      <c r="B6" s="80">
        <f>'MAIN OI'!L10</f>
        <v>9000</v>
      </c>
      <c r="C6" s="78">
        <f>'MAIN OI'!P10</f>
        <v>4494900</v>
      </c>
      <c r="D6" s="78">
        <f>IFERROR($B6*SUM(A$2:$A6)-SUMPRODUCT($B$2:B6,$A$2:A6),0)</f>
        <v>140377500</v>
      </c>
      <c r="E6" s="78">
        <f>IFERROR(SUMPRODUCT($B6:B$14,$C6:C$14)-$B6*SUM($C6:C$14),0)</f>
        <v>4604467500</v>
      </c>
      <c r="F6" s="78">
        <f t="shared" si="0"/>
        <v>4744845000</v>
      </c>
      <c r="G6" s="79">
        <f t="shared" si="1"/>
        <v>9000</v>
      </c>
      <c r="I6" s="97"/>
    </row>
    <row r="7" spans="1:11" x14ac:dyDescent="0.5">
      <c r="A7" s="78">
        <f>'MAIN OI'!H11</f>
        <v>232500</v>
      </c>
      <c r="B7" s="80">
        <f>'MAIN OI'!L11</f>
        <v>9100</v>
      </c>
      <c r="C7" s="78">
        <f>'MAIN OI'!P11</f>
        <v>3609900</v>
      </c>
      <c r="D7" s="78">
        <f>IFERROR($B7*SUM(A$2:$A7)-SUMPRODUCT($B$2:B7,$A$2:A7),0)</f>
        <v>230797500</v>
      </c>
      <c r="E7" s="78">
        <f>IFERROR(SUMPRODUCT($B7:B$14,$C7:C$14)-$B7*SUM($C7:C$14),0)</f>
        <v>2931735000</v>
      </c>
      <c r="F7" s="78">
        <f t="shared" si="0"/>
        <v>3162532500</v>
      </c>
      <c r="G7" s="79">
        <f t="shared" si="1"/>
        <v>9100</v>
      </c>
      <c r="K7" s="1"/>
    </row>
    <row r="8" spans="1:11" x14ac:dyDescent="0.5">
      <c r="A8" s="78">
        <f>'MAIN OI'!H12</f>
        <v>320850</v>
      </c>
      <c r="B8" s="80">
        <f>'MAIN OI'!L12</f>
        <v>9200</v>
      </c>
      <c r="C8" s="78">
        <f>'MAIN OI'!P12</f>
        <v>3408300</v>
      </c>
      <c r="D8" s="78">
        <f>IFERROR($B8*SUM(A$2:$A8)-SUMPRODUCT($B$2:B8,$A$2:A8),0)</f>
        <v>344467500</v>
      </c>
      <c r="E8" s="78">
        <f>IFERROR(SUMPRODUCT($B8:B$14,$C8:C$14)-$B8*SUM($C8:C$14),0)</f>
        <v>1619992500</v>
      </c>
      <c r="F8" s="78">
        <f t="shared" si="0"/>
        <v>1964460000</v>
      </c>
      <c r="G8" s="79">
        <f t="shared" si="1"/>
        <v>9200</v>
      </c>
    </row>
    <row r="9" spans="1:11" x14ac:dyDescent="0.5">
      <c r="A9" s="78">
        <f>'MAIN OI'!H13</f>
        <v>1215375</v>
      </c>
      <c r="B9" s="80">
        <f>'MAIN OI'!L13</f>
        <v>9300</v>
      </c>
      <c r="C9" s="78">
        <f>'MAIN OI'!P13</f>
        <v>4893375</v>
      </c>
      <c r="D9" s="78">
        <f>IFERROR($B9*SUM(A$2:$A9)-SUMPRODUCT($B$2:B9,$A$2:A9),0)</f>
        <v>490222500</v>
      </c>
      <c r="E9" s="78">
        <f>IFERROR(SUMPRODUCT($B9:B$14,$C9:C$14)-$B9*SUM($C9:C$14),0)</f>
        <v>649080000</v>
      </c>
      <c r="F9" s="78">
        <f t="shared" si="0"/>
        <v>1139302500</v>
      </c>
      <c r="G9" s="79">
        <f t="shared" si="1"/>
        <v>9300</v>
      </c>
      <c r="I9" s="1"/>
    </row>
    <row r="10" spans="1:11" x14ac:dyDescent="0.5">
      <c r="A10" s="78">
        <f>'MAIN OI'!H14</f>
        <v>4749150</v>
      </c>
      <c r="B10" s="80">
        <f>'MAIN OI'!L14</f>
        <v>9400</v>
      </c>
      <c r="C10" s="78">
        <f>'MAIN OI'!P14</f>
        <v>3535800</v>
      </c>
      <c r="D10" s="78">
        <f>IFERROR($B10*SUM(A$2:$A10)-SUMPRODUCT($B$2:B10,$A$2:A10),0)</f>
        <v>757515000</v>
      </c>
      <c r="E10" s="78">
        <f>IFERROR(SUMPRODUCT($B10:B$14,$C10:C$14)-$B10*SUM($C10:C$14),0)</f>
        <v>167505000</v>
      </c>
      <c r="F10" s="78">
        <f t="shared" si="0"/>
        <v>925020000</v>
      </c>
      <c r="G10" s="79">
        <f t="shared" si="1"/>
        <v>9400</v>
      </c>
    </row>
    <row r="11" spans="1:11" x14ac:dyDescent="0.5">
      <c r="A11" s="78">
        <f>'MAIN OI'!H15</f>
        <v>6679425</v>
      </c>
      <c r="B11" s="80">
        <f>'MAIN OI'!L15</f>
        <v>9500</v>
      </c>
      <c r="C11" s="78">
        <f>'MAIN OI'!P15</f>
        <v>999600</v>
      </c>
      <c r="D11" s="78">
        <f>IFERROR($B11*SUM(A$2:$A11)-SUMPRODUCT($B$2:B11,$A$2:A11),0)</f>
        <v>1499722500</v>
      </c>
      <c r="E11" s="78">
        <f>IFERROR(SUMPRODUCT($B11:B$14,$C11:C$14)-$B11*SUM($C11:C$14),0)</f>
        <v>39510000</v>
      </c>
      <c r="F11" s="78">
        <f t="shared" si="0"/>
        <v>1539232500</v>
      </c>
      <c r="G11" s="79">
        <f t="shared" si="1"/>
        <v>9500</v>
      </c>
    </row>
    <row r="12" spans="1:11" x14ac:dyDescent="0.5">
      <c r="A12" s="78">
        <f>'MAIN OI'!H16</f>
        <v>4459575</v>
      </c>
      <c r="B12" s="80">
        <f>'MAIN OI'!L16</f>
        <v>9600</v>
      </c>
      <c r="C12" s="78">
        <f>'MAIN OI'!P16</f>
        <v>192750</v>
      </c>
      <c r="D12" s="78">
        <f>IFERROR($B12*SUM(A$2:$A12)-SUMPRODUCT($B$2:B12,$A$2:A12),0)</f>
        <v>2909872500</v>
      </c>
      <c r="E12" s="78">
        <f>IFERROR(SUMPRODUCT($B12:B$14,$C12:C$14)-$B12*SUM($C12:C$14),0)</f>
        <v>11475000</v>
      </c>
      <c r="F12" s="78">
        <f t="shared" si="0"/>
        <v>2921347500</v>
      </c>
      <c r="G12" s="79">
        <f t="shared" si="1"/>
        <v>9600</v>
      </c>
    </row>
    <row r="13" spans="1:11" x14ac:dyDescent="0.5">
      <c r="A13" s="78">
        <f>'MAIN OI'!H17</f>
        <v>1730325</v>
      </c>
      <c r="B13" s="80">
        <f>'MAIN OI'!L17</f>
        <v>9700</v>
      </c>
      <c r="C13" s="78">
        <f>'MAIN OI'!P17</f>
        <v>60450</v>
      </c>
      <c r="D13" s="78">
        <f>IFERROR($B13*SUM(A$2:$A13)-SUMPRODUCT($B$2:B13,$A$2:A13),0)</f>
        <v>4765980000</v>
      </c>
      <c r="E13" s="78">
        <f>IFERROR(SUMPRODUCT($B13:B$14,$C13:C$14)-$B13*SUM($C13:C$14),0)</f>
        <v>2715000</v>
      </c>
      <c r="F13" s="78">
        <f t="shared" si="0"/>
        <v>4768695000</v>
      </c>
      <c r="G13" s="79">
        <f t="shared" si="1"/>
        <v>9700</v>
      </c>
    </row>
    <row r="14" spans="1:11" x14ac:dyDescent="0.5">
      <c r="A14" s="78">
        <f>'MAIN OI'!H18</f>
        <v>721350</v>
      </c>
      <c r="B14" s="80">
        <f>'MAIN OI'!L18</f>
        <v>9800</v>
      </c>
      <c r="C14" s="78">
        <f>'MAIN OI'!P18</f>
        <v>27150</v>
      </c>
      <c r="D14" s="78">
        <f>IFERROR($B14*SUM(A$2:$A14)-SUMPRODUCT($B$2:B14,$A$2:A14),0)</f>
        <v>6795120000</v>
      </c>
      <c r="E14" s="78">
        <f>IFERROR(SUMPRODUCT($B14:B$14,$C14:C$14)-$B14*SUM($C14:C$14),0)</f>
        <v>0</v>
      </c>
      <c r="F14" s="78">
        <f t="shared" si="0"/>
        <v>6795120000</v>
      </c>
      <c r="G14" s="79">
        <f t="shared" si="1"/>
        <v>9800</v>
      </c>
    </row>
    <row r="15" spans="1:11" x14ac:dyDescent="0.5">
      <c r="A15" s="78">
        <f>'MAIN OI'!H19</f>
        <v>420525</v>
      </c>
      <c r="B15" s="80">
        <f>'MAIN OI'!L19</f>
        <v>9900</v>
      </c>
      <c r="C15" s="78">
        <f>'MAIN OI'!P19</f>
        <v>20775</v>
      </c>
      <c r="D15" s="78">
        <f>IFERROR($B15*SUM(A$2:$A15)-SUMPRODUCT($B$2:B15,$A$2:A15),0)</f>
        <v>8896395000</v>
      </c>
      <c r="E15" s="78">
        <f>IFERROR(SUMPRODUCT($B$14:B15,$C$14:C15)-$B15*SUM($C$14:C15),0)</f>
        <v>-2715000</v>
      </c>
      <c r="F15" s="78">
        <f t="shared" ref="F15:F17" si="2">SUM(D15:E15)</f>
        <v>8893680000</v>
      </c>
      <c r="G15" s="79">
        <f t="shared" ref="G15:G17" si="3">B15</f>
        <v>9900</v>
      </c>
    </row>
    <row r="16" spans="1:11" x14ac:dyDescent="0.5">
      <c r="A16" s="78">
        <f>'MAIN OI'!H20</f>
        <v>1140900</v>
      </c>
      <c r="B16" s="80">
        <f>'MAIN OI'!L20</f>
        <v>10000</v>
      </c>
      <c r="C16" s="78">
        <f>'MAIN OI'!P20</f>
        <v>260325</v>
      </c>
      <c r="D16" s="78">
        <f>IFERROR($B16*SUM(A$2:$A16)-SUMPRODUCT($B$2:B16,$A$2:A16),0)</f>
        <v>11039722500</v>
      </c>
      <c r="E16" s="78">
        <f>IFERROR(SUMPRODUCT($B$14:B16,$C$14:C16)-$B16*SUM($C$14:C16),0)</f>
        <v>-7507500</v>
      </c>
      <c r="F16" s="78">
        <f t="shared" si="2"/>
        <v>11032215000</v>
      </c>
      <c r="G16" s="79">
        <f t="shared" si="3"/>
        <v>10000</v>
      </c>
    </row>
    <row r="17" spans="1:11" x14ac:dyDescent="0.5">
      <c r="A17" s="78">
        <f>'MAIN OI'!H21</f>
        <v>30150</v>
      </c>
      <c r="B17" s="80">
        <f>'MAIN OI'!L21</f>
        <v>10100</v>
      </c>
      <c r="C17" s="78" t="str">
        <f>'MAIN OI'!P21</f>
        <v>-</v>
      </c>
      <c r="D17" s="78">
        <f>IFERROR($B17*SUM(A$2:$A17)-SUMPRODUCT($B$2:B17,$A$2:A17),0)</f>
        <v>13297140000</v>
      </c>
      <c r="E17" s="78">
        <f>IFERROR(SUMPRODUCT($B$14:B17,$C$14:C17)-$B17*SUM($C$14:C17),0)</f>
        <v>-38332500</v>
      </c>
      <c r="F17" s="78">
        <f t="shared" si="2"/>
        <v>13258807500</v>
      </c>
      <c r="G17" s="79">
        <f t="shared" si="3"/>
        <v>10100</v>
      </c>
    </row>
    <row r="18" spans="1:11" x14ac:dyDescent="0.5">
      <c r="A18" s="96">
        <f>SUM(A2:A17)</f>
        <v>22604325</v>
      </c>
      <c r="C18" s="96">
        <f>SUM(C2:C17)</f>
        <v>27666600</v>
      </c>
      <c r="D18" s="1"/>
      <c r="F18" s="1"/>
      <c r="G18" s="57"/>
    </row>
    <row r="21" spans="1:11" x14ac:dyDescent="0.5">
      <c r="B21" s="1"/>
    </row>
    <row r="22" spans="1:11" x14ac:dyDescent="0.5">
      <c r="B22" s="1"/>
    </row>
    <row r="23" spans="1:11" ht="20.7" x14ac:dyDescent="0.7">
      <c r="A23" s="65"/>
      <c r="B23" s="66"/>
    </row>
    <row r="25" spans="1:11" x14ac:dyDescent="0.5">
      <c r="K25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28" sqref="D28"/>
    </sheetView>
  </sheetViews>
  <sheetFormatPr defaultRowHeight="14.35" x14ac:dyDescent="0.5"/>
  <cols>
    <col min="1" max="1" width="10.17578125" bestFit="1" customWidth="1"/>
    <col min="2" max="2" width="18.8203125" bestFit="1" customWidth="1"/>
    <col min="3" max="3" width="11.17578125" bestFit="1" customWidth="1"/>
    <col min="4" max="4" width="13.8203125" bestFit="1" customWidth="1"/>
    <col min="5" max="6" width="13.8203125" customWidth="1"/>
    <col min="9" max="9" width="23.9375" bestFit="1" customWidth="1"/>
    <col min="10" max="10" width="10.703125" bestFit="1" customWidth="1"/>
    <col min="11" max="11" width="14.41015625" customWidth="1"/>
  </cols>
  <sheetData>
    <row r="1" spans="1:11" x14ac:dyDescent="0.5">
      <c r="A1" s="82" t="s">
        <v>26</v>
      </c>
      <c r="B1" s="82" t="s">
        <v>27</v>
      </c>
      <c r="C1" s="82" t="s">
        <v>28</v>
      </c>
      <c r="D1" s="82" t="s">
        <v>29</v>
      </c>
      <c r="E1" s="82" t="s">
        <v>30</v>
      </c>
      <c r="F1" s="82" t="s">
        <v>31</v>
      </c>
      <c r="G1" s="82" t="s">
        <v>27</v>
      </c>
    </row>
    <row r="2" spans="1:11" x14ac:dyDescent="0.5">
      <c r="A2" s="78">
        <f>'MAIN OI BNF'!H6</f>
        <v>2880</v>
      </c>
      <c r="B2" s="80">
        <f>'MAIN OI BNF'!L6</f>
        <v>21700</v>
      </c>
      <c r="C2" s="78">
        <f>'MAIN OI BNF'!P6</f>
        <v>65480</v>
      </c>
      <c r="D2" s="78">
        <f>IFERROR($B2*SUM(A2:$A$2)-SUMPRODUCT($B2:B$2,$A2:A$2),0)</f>
        <v>0</v>
      </c>
      <c r="E2" s="78">
        <f>IFERROR(SUMPRODUCT($B2:B$14,$C2:C$14)-$B2*SUM($C2:C$14),0)</f>
        <v>2858948000</v>
      </c>
      <c r="F2" s="78">
        <f>SUM(D2:E2)</f>
        <v>2858948000</v>
      </c>
      <c r="G2" s="79">
        <f>B2</f>
        <v>21700</v>
      </c>
    </row>
    <row r="3" spans="1:11" x14ac:dyDescent="0.5">
      <c r="A3" s="78">
        <f>'MAIN OI BNF'!H7</f>
        <v>7040</v>
      </c>
      <c r="B3" s="80">
        <f>'MAIN OI BNF'!L7</f>
        <v>21800</v>
      </c>
      <c r="C3" s="78">
        <f>'MAIN OI BNF'!P7</f>
        <v>105040</v>
      </c>
      <c r="D3" s="78">
        <f>IFERROR($B3*SUM(A$2:$A3)-SUMPRODUCT($B$2:B3,$A$2:A3),0)</f>
        <v>288000</v>
      </c>
      <c r="E3" s="78">
        <f>IFERROR(SUMPRODUCT($B3:B$14,$C3:C$14)-$B3*SUM($C3:C$14),0)</f>
        <v>2355116000</v>
      </c>
      <c r="F3" s="78">
        <f t="shared" ref="F3:F17" si="0">SUM(D3:E3)</f>
        <v>2355404000</v>
      </c>
      <c r="G3" s="79">
        <f t="shared" ref="G3:G17" si="1">B3</f>
        <v>21800</v>
      </c>
    </row>
    <row r="4" spans="1:11" x14ac:dyDescent="0.5">
      <c r="A4" s="78">
        <f>'MAIN OI BNF'!H8</f>
        <v>760</v>
      </c>
      <c r="B4" s="80">
        <f>'MAIN OI BNF'!L8</f>
        <v>21900</v>
      </c>
      <c r="C4" s="78">
        <f>'MAIN OI BNF'!P8</f>
        <v>187840</v>
      </c>
      <c r="D4" s="78">
        <f>IFERROR($B4*SUM(A$2:$A4)-SUMPRODUCT($B$2:B4,$A$2:A4),0)</f>
        <v>1280000</v>
      </c>
      <c r="E4" s="78">
        <f>IFERROR(SUMPRODUCT($B4:B$14,$C4:C$14)-$B4*SUM($C4:C$14),0)</f>
        <v>1861788000</v>
      </c>
      <c r="F4" s="78">
        <f t="shared" si="0"/>
        <v>1863068000</v>
      </c>
      <c r="G4" s="79">
        <f t="shared" si="1"/>
        <v>21900</v>
      </c>
      <c r="I4" s="100" t="s">
        <v>58</v>
      </c>
      <c r="J4" s="98">
        <f>C18/A18</f>
        <v>1.0437270421024833</v>
      </c>
    </row>
    <row r="5" spans="1:11" x14ac:dyDescent="0.5">
      <c r="A5" s="78">
        <f>'MAIN OI BNF'!H9</f>
        <v>99360</v>
      </c>
      <c r="B5" s="80">
        <f>'MAIN OI BNF'!L9</f>
        <v>22000</v>
      </c>
      <c r="C5" s="78">
        <f>'MAIN OI BNF'!P9</f>
        <v>1236480</v>
      </c>
      <c r="D5" s="78">
        <f>IFERROR($B5*SUM(A$2:$A5)-SUMPRODUCT($B$2:B5,$A$2:A5),0)</f>
        <v>2348000</v>
      </c>
      <c r="E5" s="78">
        <f>IFERROR(SUMPRODUCT($B5:B$14,$C5:C$14)-$B5*SUM($C5:C$14),0)</f>
        <v>1387244000</v>
      </c>
      <c r="F5" s="78">
        <f t="shared" si="0"/>
        <v>1389592000</v>
      </c>
      <c r="G5" s="79">
        <f t="shared" si="1"/>
        <v>22000</v>
      </c>
      <c r="I5" s="100" t="s">
        <v>59</v>
      </c>
      <c r="J5" s="99" t="str">
        <f>IF(J4&gt;1,"Bullish",IF(J4&lt;0.5,"Bearish","Sideways"))</f>
        <v>Bullish</v>
      </c>
    </row>
    <row r="6" spans="1:11" x14ac:dyDescent="0.5">
      <c r="A6" s="78">
        <f>'MAIN OI BNF'!H10</f>
        <v>2560</v>
      </c>
      <c r="B6" s="80">
        <f>'MAIN OI BNF'!L10</f>
        <v>22100</v>
      </c>
      <c r="C6" s="78">
        <f>'MAIN OI BNF'!P10</f>
        <v>281040</v>
      </c>
      <c r="D6" s="78">
        <f>IFERROR($B6*SUM(A$2:$A6)-SUMPRODUCT($B$2:B6,$A$2:A6),0)</f>
        <v>13352000</v>
      </c>
      <c r="E6" s="78">
        <f>IFERROR(SUMPRODUCT($B6:B$14,$C6:C$14)-$B6*SUM($C6:C$14),0)</f>
        <v>1036348000</v>
      </c>
      <c r="F6" s="78">
        <f t="shared" si="0"/>
        <v>1049700000</v>
      </c>
      <c r="G6" s="79">
        <f t="shared" si="1"/>
        <v>22100</v>
      </c>
    </row>
    <row r="7" spans="1:11" x14ac:dyDescent="0.5">
      <c r="A7" s="78">
        <f>'MAIN OI BNF'!H11</f>
        <v>5600</v>
      </c>
      <c r="B7" s="80">
        <f>'MAIN OI BNF'!L11</f>
        <v>22200</v>
      </c>
      <c r="C7" s="78">
        <f>'MAIN OI BNF'!P11</f>
        <v>842360</v>
      </c>
      <c r="D7" s="78">
        <f>IFERROR($B7*SUM(A$2:$A7)-SUMPRODUCT($B$2:B7,$A$2:A7),0)</f>
        <v>24612000</v>
      </c>
      <c r="E7" s="78">
        <f>IFERROR(SUMPRODUCT($B7:B$14,$C7:C$14)-$B7*SUM($C7:C$14),0)</f>
        <v>713556000</v>
      </c>
      <c r="F7" s="78">
        <f t="shared" si="0"/>
        <v>738168000</v>
      </c>
      <c r="G7" s="79">
        <f t="shared" si="1"/>
        <v>22200</v>
      </c>
      <c r="K7" s="1"/>
    </row>
    <row r="8" spans="1:11" x14ac:dyDescent="0.5">
      <c r="A8" s="78">
        <f>'MAIN OI BNF'!H12</f>
        <v>37120</v>
      </c>
      <c r="B8" s="80">
        <f>'MAIN OI BNF'!L12</f>
        <v>22300</v>
      </c>
      <c r="C8" s="78">
        <f>'MAIN OI BNF'!P12</f>
        <v>428120</v>
      </c>
      <c r="D8" s="78">
        <f>IFERROR($B8*SUM(A$2:$A8)-SUMPRODUCT($B$2:B8,$A$2:A8),0)</f>
        <v>36432000</v>
      </c>
      <c r="E8" s="78">
        <f>IFERROR(SUMPRODUCT($B8:B$14,$C8:C$14)-$B8*SUM($C8:C$14),0)</f>
        <v>475000000</v>
      </c>
      <c r="F8" s="78">
        <f t="shared" si="0"/>
        <v>511432000</v>
      </c>
      <c r="G8" s="79">
        <f t="shared" si="1"/>
        <v>22300</v>
      </c>
    </row>
    <row r="9" spans="1:11" x14ac:dyDescent="0.5">
      <c r="A9" s="78">
        <f>'MAIN OI BNF'!H13</f>
        <v>69600</v>
      </c>
      <c r="B9" s="80">
        <f>'MAIN OI BNF'!L13</f>
        <v>22400</v>
      </c>
      <c r="C9" s="78">
        <f>'MAIN OI BNF'!P13</f>
        <v>374960</v>
      </c>
      <c r="D9" s="78">
        <f>IFERROR($B9*SUM(A$2:$A9)-SUMPRODUCT($B$2:B9,$A$2:A9),0)</f>
        <v>51964000</v>
      </c>
      <c r="E9" s="78">
        <f>IFERROR(SUMPRODUCT($B9:B$14,$C9:C$14)-$B9*SUM($C9:C$14),0)</f>
        <v>279256000</v>
      </c>
      <c r="F9" s="78">
        <f t="shared" si="0"/>
        <v>331220000</v>
      </c>
      <c r="G9" s="79">
        <f t="shared" si="1"/>
        <v>22400</v>
      </c>
      <c r="I9" s="1"/>
    </row>
    <row r="10" spans="1:11" x14ac:dyDescent="0.5">
      <c r="A10" s="78">
        <f>'MAIN OI BNF'!H14</f>
        <v>644120</v>
      </c>
      <c r="B10" s="80">
        <f>'MAIN OI BNF'!L14</f>
        <v>22500</v>
      </c>
      <c r="C10" s="78">
        <f>'MAIN OI BNF'!P14</f>
        <v>967840</v>
      </c>
      <c r="D10" s="78">
        <f>IFERROR($B10*SUM(A$2:$A10)-SUMPRODUCT($B$2:B10,$A$2:A10),0)</f>
        <v>74456000</v>
      </c>
      <c r="E10" s="78">
        <f>IFERROR(SUMPRODUCT($B10:B$14,$C10:C$14)-$B10*SUM($C10:C$14),0)</f>
        <v>121008000</v>
      </c>
      <c r="F10" s="78">
        <f t="shared" si="0"/>
        <v>195464000</v>
      </c>
      <c r="G10" s="79">
        <f t="shared" si="1"/>
        <v>22500</v>
      </c>
    </row>
    <row r="11" spans="1:11" x14ac:dyDescent="0.5">
      <c r="A11" s="78">
        <f>'MAIN OI BNF'!H15</f>
        <v>494320</v>
      </c>
      <c r="B11" s="80">
        <f>'MAIN OI BNF'!L15</f>
        <v>22600</v>
      </c>
      <c r="C11" s="78">
        <f>'MAIN OI BNF'!P15</f>
        <v>268000</v>
      </c>
      <c r="D11" s="78">
        <f>IFERROR($B11*SUM(A$2:$A11)-SUMPRODUCT($B$2:B11,$A$2:A11),0)</f>
        <v>161360000</v>
      </c>
      <c r="E11" s="78">
        <f>IFERROR(SUMPRODUCT($B11:B$14,$C11:C$14)-$B11*SUM($C11:C$14),0)</f>
        <v>59544000</v>
      </c>
      <c r="F11" s="78">
        <f t="shared" si="0"/>
        <v>220904000</v>
      </c>
      <c r="G11" s="79">
        <f t="shared" si="1"/>
        <v>22600</v>
      </c>
    </row>
    <row r="12" spans="1:11" x14ac:dyDescent="0.5">
      <c r="A12" s="78">
        <f>'MAIN OI BNF'!H16</f>
        <v>621480</v>
      </c>
      <c r="B12" s="80">
        <f>'MAIN OI BNF'!L16</f>
        <v>22700</v>
      </c>
      <c r="C12" s="78">
        <f>'MAIN OI BNF'!P16</f>
        <v>170720</v>
      </c>
      <c r="D12" s="78">
        <f>IFERROR($B12*SUM(A$2:$A12)-SUMPRODUCT($B$2:B12,$A$2:A12),0)</f>
        <v>297696000</v>
      </c>
      <c r="E12" s="78">
        <f>IFERROR(SUMPRODUCT($B12:B$14,$C12:C$14)-$B12*SUM($C12:C$14),0)</f>
        <v>24880000</v>
      </c>
      <c r="F12" s="78">
        <f t="shared" si="0"/>
        <v>322576000</v>
      </c>
      <c r="G12" s="79">
        <f t="shared" si="1"/>
        <v>22700</v>
      </c>
    </row>
    <row r="13" spans="1:11" x14ac:dyDescent="0.5">
      <c r="A13" s="78">
        <f>'MAIN OI BNF'!H17</f>
        <v>762600</v>
      </c>
      <c r="B13" s="80">
        <f>'MAIN OI BNF'!L17</f>
        <v>22800</v>
      </c>
      <c r="C13" s="78">
        <f>'MAIN OI BNF'!P17</f>
        <v>103040</v>
      </c>
      <c r="D13" s="78">
        <f>IFERROR($B13*SUM(A$2:$A13)-SUMPRODUCT($B$2:B13,$A$2:A13),0)</f>
        <v>496180000</v>
      </c>
      <c r="E13" s="78">
        <f>IFERROR(SUMPRODUCT($B13:B$14,$C13:C$14)-$B13*SUM($C13:C$14),0)</f>
        <v>7288000</v>
      </c>
      <c r="F13" s="78">
        <f t="shared" si="0"/>
        <v>503468000</v>
      </c>
      <c r="G13" s="79">
        <f t="shared" si="1"/>
        <v>22800</v>
      </c>
    </row>
    <row r="14" spans="1:11" x14ac:dyDescent="0.5">
      <c r="A14" s="78">
        <f>'MAIN OI BNF'!H18</f>
        <v>583080</v>
      </c>
      <c r="B14" s="80">
        <f>'MAIN OI BNF'!L18</f>
        <v>22900</v>
      </c>
      <c r="C14" s="78">
        <f>'MAIN OI BNF'!P18</f>
        <v>72880</v>
      </c>
      <c r="D14" s="78">
        <f>IFERROR($B14*SUM(A$2:$A14)-SUMPRODUCT($B$2:B14,$A$2:A14),0)</f>
        <v>770924000</v>
      </c>
      <c r="E14" s="78">
        <f>IFERROR(SUMPRODUCT($B14:B$14,$C14:C$14)-$B14*SUM($C14:C$14),0)</f>
        <v>0</v>
      </c>
      <c r="F14" s="78">
        <f t="shared" si="0"/>
        <v>770924000</v>
      </c>
      <c r="G14" s="79">
        <f t="shared" si="1"/>
        <v>22900</v>
      </c>
    </row>
    <row r="15" spans="1:11" x14ac:dyDescent="0.5">
      <c r="A15" s="78">
        <f>'MAIN OI BNF'!H19</f>
        <v>1081880</v>
      </c>
      <c r="B15" s="80">
        <f>'MAIN OI BNF'!L19</f>
        <v>23000</v>
      </c>
      <c r="C15" s="78">
        <f>'MAIN OI BNF'!P19</f>
        <v>106880</v>
      </c>
      <c r="D15" s="78">
        <f>IFERROR($B15*SUM(A$2:$A15)-SUMPRODUCT($B$2:B15,$A$2:A15),0)</f>
        <v>1103976000</v>
      </c>
      <c r="E15" s="78">
        <f>IFERROR(SUMPRODUCT($B$14:B15,$C$14:C15)-$B15*SUM($C$14:C15),0)</f>
        <v>-7288000</v>
      </c>
      <c r="F15" s="78">
        <f t="shared" si="0"/>
        <v>1096688000</v>
      </c>
      <c r="G15" s="79">
        <f t="shared" si="1"/>
        <v>23000</v>
      </c>
    </row>
    <row r="16" spans="1:11" x14ac:dyDescent="0.5">
      <c r="A16" s="78">
        <f>'MAIN OI BNF'!H20</f>
        <v>274520</v>
      </c>
      <c r="B16" s="80">
        <f>'MAIN OI BNF'!L20</f>
        <v>23100</v>
      </c>
      <c r="C16" s="78">
        <f>'MAIN OI BNF'!P20</f>
        <v>4360</v>
      </c>
      <c r="D16" s="78">
        <f>IFERROR($B16*SUM(A$2:$A16)-SUMPRODUCT($B$2:B16,$A$2:A16),0)</f>
        <v>1545216000</v>
      </c>
      <c r="E16" s="78">
        <f>IFERROR(SUMPRODUCT($B$14:B16,$C$14:C16)-$B16*SUM($C$14:C16),0)</f>
        <v>-25264000</v>
      </c>
      <c r="F16" s="78">
        <f t="shared" si="0"/>
        <v>1519952000</v>
      </c>
      <c r="G16" s="79">
        <f t="shared" si="1"/>
        <v>23100</v>
      </c>
    </row>
    <row r="17" spans="1:11" x14ac:dyDescent="0.5">
      <c r="A17" s="78">
        <f>'MAIN OI BNF'!H21</f>
        <v>311360</v>
      </c>
      <c r="B17" s="80">
        <f>'MAIN OI BNF'!L21</f>
        <v>23200</v>
      </c>
      <c r="C17" s="78">
        <f>'MAIN OI BNF'!P21</f>
        <v>1800</v>
      </c>
      <c r="D17" s="78">
        <f>IFERROR($B17*SUM(A$2:$A17)-SUMPRODUCT($B$2:B17,$A$2:A17),0)</f>
        <v>2013908000</v>
      </c>
      <c r="E17" s="78">
        <f>IFERROR(SUMPRODUCT($B$14:B17,$C$14:C17)-$B17*SUM($C$14:C17),0)</f>
        <v>-43676000</v>
      </c>
      <c r="F17" s="78">
        <f t="shared" si="0"/>
        <v>1970232000</v>
      </c>
      <c r="G17" s="79">
        <f t="shared" si="1"/>
        <v>23200</v>
      </c>
    </row>
    <row r="18" spans="1:11" x14ac:dyDescent="0.5">
      <c r="A18" s="96">
        <f>SUM(A2:A17)</f>
        <v>4998280</v>
      </c>
      <c r="C18" s="96">
        <f>SUM(C2:C17)</f>
        <v>5216840</v>
      </c>
      <c r="D18" s="1"/>
      <c r="F18" s="1"/>
      <c r="G18" s="57"/>
    </row>
    <row r="21" spans="1:11" x14ac:dyDescent="0.5">
      <c r="B21" s="1"/>
    </row>
    <row r="22" spans="1:11" x14ac:dyDescent="0.5">
      <c r="B22" s="1"/>
    </row>
    <row r="23" spans="1:11" ht="20.7" x14ac:dyDescent="0.7">
      <c r="A23" s="65"/>
      <c r="B23" s="66"/>
    </row>
    <row r="25" spans="1:11" x14ac:dyDescent="0.5">
      <c r="K2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137"/>
  <sheetViews>
    <sheetView topLeftCell="A118" workbookViewId="0">
      <selection activeCell="B65" sqref="B65:B137"/>
    </sheetView>
  </sheetViews>
  <sheetFormatPr defaultRowHeight="14.35" x14ac:dyDescent="0.5"/>
  <cols>
    <col min="1" max="1" width="12.5859375" customWidth="1"/>
    <col min="2" max="2" width="19" customWidth="1"/>
    <col min="3" max="3" width="27.05859375" customWidth="1"/>
    <col min="4" max="4" width="53.87890625" customWidth="1"/>
    <col min="5" max="5" width="9.29296875" customWidth="1"/>
    <col min="6" max="6" width="8.703125" customWidth="1"/>
    <col min="7" max="7" width="3.76171875" customWidth="1"/>
    <col min="8" max="8" width="5.234375" customWidth="1"/>
    <col min="9" max="9" width="8" customWidth="1"/>
    <col min="10" max="10" width="6.234375" customWidth="1"/>
    <col min="11" max="12" width="5.234375" customWidth="1"/>
    <col min="13" max="13" width="6.234375" customWidth="1"/>
    <col min="14" max="14" width="9.64453125" customWidth="1"/>
    <col min="15" max="18" width="5.234375" customWidth="1"/>
    <col min="19" max="19" width="8" customWidth="1"/>
    <col min="20" max="20" width="5.234375" customWidth="1"/>
    <col min="21" max="21" width="3.76171875" customWidth="1"/>
    <col min="22" max="22" width="8.703125" customWidth="1"/>
    <col min="23" max="23" width="9.29296875" customWidth="1"/>
    <col min="24" max="24" width="10.17578125" customWidth="1"/>
    <col min="25" max="25" width="5.1171875" customWidth="1"/>
    <col min="26" max="26" width="10" customWidth="1"/>
    <col min="27" max="27" width="10.41015625" style="57" bestFit="1" customWidth="1"/>
    <col min="28" max="28" width="10.17578125" customWidth="1"/>
    <col min="29" max="29" width="5.5859375" customWidth="1"/>
    <col min="30" max="30" width="9.17578125" customWidth="1"/>
    <col min="31" max="31" width="6.5859375" customWidth="1"/>
    <col min="32" max="33" width="5.5859375" customWidth="1"/>
    <col min="34" max="34" width="6.5859375" customWidth="1"/>
    <col min="35" max="35" width="11" customWidth="1"/>
    <col min="36" max="36" width="6.5859375" customWidth="1"/>
    <col min="37" max="39" width="5.5859375" customWidth="1"/>
    <col min="40" max="40" width="9.17578125" customWidth="1"/>
    <col min="41" max="41" width="5.5859375" customWidth="1"/>
    <col min="42" max="42" width="3" customWidth="1"/>
    <col min="43" max="43" width="8" customWidth="1"/>
    <col min="44" max="44" width="10" customWidth="1"/>
    <col min="45" max="45" width="10.17578125" customWidth="1"/>
    <col min="46" max="46" width="5.703125" customWidth="1"/>
    <col min="47" max="47" width="10" customWidth="1"/>
    <col min="48" max="48" width="8" customWidth="1"/>
    <col min="49" max="49" width="6" customWidth="1"/>
    <col min="50" max="50" width="8.17578125" customWidth="1"/>
    <col min="52" max="52" width="6.5859375" customWidth="1"/>
    <col min="53" max="54" width="8.17578125" customWidth="1"/>
    <col min="55" max="55" width="6.5859375" customWidth="1"/>
    <col min="56" max="56" width="11" customWidth="1"/>
    <col min="57" max="57" width="7.5859375" customWidth="1"/>
    <col min="58" max="59" width="8.17578125" customWidth="1"/>
    <col min="60" max="60" width="7.5859375" customWidth="1"/>
    <col min="62" max="62" width="8.17578125" customWidth="1"/>
    <col min="63" max="63" width="6" customWidth="1"/>
    <col min="64" max="64" width="8" customWidth="1"/>
    <col min="65" max="65" width="10" customWidth="1"/>
    <col min="66" max="66" width="10.17578125" customWidth="1"/>
    <col min="67" max="67" width="5.703125" customWidth="1"/>
  </cols>
  <sheetData>
    <row r="1" spans="1:27" x14ac:dyDescent="0.5">
      <c r="A1" s="75" t="str">
        <f>MID(D1,40,12)</f>
        <v>May 24, 2017</v>
      </c>
      <c r="B1" s="77"/>
      <c r="C1" t="s">
        <v>15</v>
      </c>
      <c r="D1" s="1" t="s">
        <v>82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x14ac:dyDescent="0.5">
      <c r="A2" s="75" t="str">
        <f>"Last Update @  "&amp;MID(D1,53,8)</f>
        <v>Last Update @  15:30:29</v>
      </c>
      <c r="B2" s="77"/>
      <c r="C2" t="s">
        <v>49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x14ac:dyDescent="0.5">
      <c r="A3" s="76" t="str">
        <f>MID(D1,19,5)</f>
        <v>NIFTY</v>
      </c>
      <c r="B3" s="77"/>
      <c r="C3" t="s">
        <v>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x14ac:dyDescent="0.5">
      <c r="A4" s="76">
        <f>VALUE(MID(D1,25,7))</f>
        <v>9360.5499999999993</v>
      </c>
      <c r="B4" s="77"/>
      <c r="C4" t="s">
        <v>51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57" t="s">
        <v>47</v>
      </c>
    </row>
    <row r="5" spans="1:27" x14ac:dyDescent="0.5">
      <c r="A5" s="76">
        <f>ROUND(A4,-2)</f>
        <v>9400</v>
      </c>
      <c r="B5" s="77"/>
      <c r="C5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x14ac:dyDescent="0.5">
      <c r="A6" t="str">
        <f>"CE"&amp;N6</f>
        <v>CE</v>
      </c>
      <c r="B6" t="str">
        <f>"PE"&amp;N6</f>
        <v>PE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A6" s="57" t="e">
        <f>X6/D6</f>
        <v>#DIV/0!</v>
      </c>
    </row>
    <row r="7" spans="1:27" x14ac:dyDescent="0.5">
      <c r="A7" t="str">
        <f t="shared" ref="A7:A41" si="0">"CE"&amp;N7</f>
        <v>CE</v>
      </c>
      <c r="B7" t="str">
        <f t="shared" ref="B7:B41" si="1">"PE"&amp;N7</f>
        <v>PE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A7" s="57" t="e">
        <f t="shared" ref="AA7:AA63" si="2">X7/D7</f>
        <v>#DIV/0!</v>
      </c>
    </row>
    <row r="8" spans="1:27" x14ac:dyDescent="0.5">
      <c r="A8" t="str">
        <f t="shared" si="0"/>
        <v>CE</v>
      </c>
      <c r="B8" t="str">
        <f t="shared" si="1"/>
        <v>PE</v>
      </c>
      <c r="C8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AA8" s="57" t="e">
        <f t="shared" si="2"/>
        <v>#DIV/0!</v>
      </c>
    </row>
    <row r="9" spans="1:27" x14ac:dyDescent="0.5">
      <c r="A9" t="str">
        <f t="shared" si="0"/>
        <v>CEStrike Price</v>
      </c>
      <c r="B9" t="str">
        <f t="shared" si="1"/>
        <v>PEStrike Price</v>
      </c>
      <c r="C9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9</v>
      </c>
      <c r="L9" s="1" t="s">
        <v>12</v>
      </c>
      <c r="M9" s="1" t="s">
        <v>12</v>
      </c>
      <c r="N9" s="1" t="s">
        <v>13</v>
      </c>
      <c r="O9" s="1" t="s">
        <v>9</v>
      </c>
      <c r="P9" s="1" t="s">
        <v>9</v>
      </c>
      <c r="Q9" s="1" t="s">
        <v>12</v>
      </c>
      <c r="R9" s="1" t="s">
        <v>12</v>
      </c>
      <c r="S9" s="1" t="s">
        <v>8</v>
      </c>
      <c r="T9" s="1" t="s">
        <v>7</v>
      </c>
      <c r="U9" s="1" t="s">
        <v>6</v>
      </c>
      <c r="V9" s="1" t="s">
        <v>5</v>
      </c>
      <c r="W9" s="1" t="s">
        <v>4</v>
      </c>
      <c r="X9" s="1" t="s">
        <v>3</v>
      </c>
      <c r="Y9" s="1" t="s">
        <v>2</v>
      </c>
      <c r="AA9" s="57" t="e">
        <f t="shared" si="2"/>
        <v>#VALUE!</v>
      </c>
    </row>
    <row r="10" spans="1:27" x14ac:dyDescent="0.5">
      <c r="A10" t="str">
        <f t="shared" si="0"/>
        <v>CE</v>
      </c>
      <c r="B10" t="str">
        <f t="shared" si="1"/>
        <v>PE</v>
      </c>
      <c r="D10" s="1"/>
      <c r="E10" s="1"/>
      <c r="F10" s="1"/>
      <c r="G10" s="1"/>
      <c r="H10" s="1"/>
      <c r="I10" s="1"/>
      <c r="J10" s="1" t="s">
        <v>10</v>
      </c>
      <c r="K10" s="1" t="s">
        <v>11</v>
      </c>
      <c r="L10" s="1" t="s">
        <v>11</v>
      </c>
      <c r="M10" s="1" t="s">
        <v>10</v>
      </c>
      <c r="N10" s="1"/>
      <c r="O10" s="1" t="s">
        <v>10</v>
      </c>
      <c r="P10" s="1" t="s">
        <v>11</v>
      </c>
      <c r="Q10" s="1" t="s">
        <v>11</v>
      </c>
      <c r="R10" s="1" t="s">
        <v>10</v>
      </c>
      <c r="S10" s="1"/>
      <c r="T10" s="1"/>
      <c r="U10" s="1"/>
      <c r="V10" s="1"/>
      <c r="W10" s="1"/>
      <c r="X10" s="1"/>
      <c r="Y10" s="1"/>
      <c r="AA10" s="57" t="e">
        <f t="shared" si="2"/>
        <v>#DIV/0!</v>
      </c>
    </row>
    <row r="11" spans="1:27" x14ac:dyDescent="0.5">
      <c r="A11" t="str">
        <f t="shared" si="0"/>
        <v>CE7400</v>
      </c>
      <c r="B11" t="str">
        <f t="shared" si="1"/>
        <v>PE7400</v>
      </c>
      <c r="D11" s="1">
        <v>142575</v>
      </c>
      <c r="E11" s="1">
        <v>-110400</v>
      </c>
      <c r="F11" s="1">
        <v>2096</v>
      </c>
      <c r="G11" s="1" t="s">
        <v>14</v>
      </c>
      <c r="H11" s="1">
        <v>1960</v>
      </c>
      <c r="I11" s="1">
        <v>-26.65</v>
      </c>
      <c r="J11" s="1">
        <v>150</v>
      </c>
      <c r="K11" s="1">
        <v>1969.7</v>
      </c>
      <c r="L11" s="1">
        <v>1976.5</v>
      </c>
      <c r="M11" s="1">
        <v>75</v>
      </c>
      <c r="N11" s="1">
        <v>7400</v>
      </c>
      <c r="O11" s="1">
        <v>1800</v>
      </c>
      <c r="P11" s="1">
        <v>0.1</v>
      </c>
      <c r="Q11" s="1">
        <v>0.3</v>
      </c>
      <c r="R11" s="1">
        <v>1500</v>
      </c>
      <c r="S11" s="1">
        <v>-0.35</v>
      </c>
      <c r="T11" s="1">
        <v>0.1</v>
      </c>
      <c r="U11" s="1">
        <v>139.15</v>
      </c>
      <c r="V11" s="1">
        <v>357</v>
      </c>
      <c r="W11" s="1">
        <v>-4875</v>
      </c>
      <c r="X11" s="1">
        <v>60525</v>
      </c>
      <c r="Y11" s="1"/>
      <c r="AA11" s="57">
        <f t="shared" si="2"/>
        <v>0.42451341399263548</v>
      </c>
    </row>
    <row r="12" spans="1:27" x14ac:dyDescent="0.5">
      <c r="A12" t="str">
        <f t="shared" si="0"/>
        <v>CE7450</v>
      </c>
      <c r="B12" t="str">
        <f t="shared" si="1"/>
        <v>PE7450</v>
      </c>
      <c r="D12" s="1" t="s">
        <v>14</v>
      </c>
      <c r="E12" s="1" t="s">
        <v>14</v>
      </c>
      <c r="F12" s="1" t="s">
        <v>14</v>
      </c>
      <c r="G12" s="1" t="s">
        <v>14</v>
      </c>
      <c r="H12" s="1" t="s">
        <v>14</v>
      </c>
      <c r="I12" s="1" t="s">
        <v>14</v>
      </c>
      <c r="J12" s="1">
        <v>75</v>
      </c>
      <c r="K12" s="1">
        <v>1821</v>
      </c>
      <c r="L12" s="1">
        <v>1969</v>
      </c>
      <c r="M12" s="1">
        <v>75</v>
      </c>
      <c r="N12" s="1">
        <v>7450</v>
      </c>
      <c r="O12" s="1">
        <v>75</v>
      </c>
      <c r="P12" s="1">
        <v>0.05</v>
      </c>
      <c r="Q12" s="1">
        <v>0.5</v>
      </c>
      <c r="R12" s="1">
        <v>1500</v>
      </c>
      <c r="S12" s="1" t="s">
        <v>14</v>
      </c>
      <c r="T12" s="1">
        <v>0.7</v>
      </c>
      <c r="U12" s="1" t="s">
        <v>14</v>
      </c>
      <c r="V12" s="1" t="s">
        <v>14</v>
      </c>
      <c r="W12" s="1" t="s">
        <v>14</v>
      </c>
      <c r="X12" s="1">
        <v>75</v>
      </c>
      <c r="Y12" s="1"/>
      <c r="AA12" s="57" t="e">
        <f t="shared" si="2"/>
        <v>#VALUE!</v>
      </c>
    </row>
    <row r="13" spans="1:27" x14ac:dyDescent="0.5">
      <c r="A13" t="str">
        <f t="shared" si="0"/>
        <v>CE7500</v>
      </c>
      <c r="B13" t="str">
        <f t="shared" si="1"/>
        <v>PE7500</v>
      </c>
      <c r="D13" s="1">
        <v>228450</v>
      </c>
      <c r="E13" s="1">
        <v>-396300</v>
      </c>
      <c r="F13" s="1">
        <v>6810</v>
      </c>
      <c r="G13" s="1">
        <v>222.03</v>
      </c>
      <c r="H13" s="1">
        <v>1873.1</v>
      </c>
      <c r="I13" s="1">
        <v>-8.85</v>
      </c>
      <c r="J13" s="1">
        <v>150</v>
      </c>
      <c r="K13" s="1">
        <v>1866.5</v>
      </c>
      <c r="L13" s="1">
        <v>1876.8</v>
      </c>
      <c r="M13" s="1">
        <v>150</v>
      </c>
      <c r="N13" s="1">
        <v>7500</v>
      </c>
      <c r="O13" s="1">
        <v>5625</v>
      </c>
      <c r="P13" s="1">
        <v>0.2</v>
      </c>
      <c r="Q13" s="1">
        <v>0.3</v>
      </c>
      <c r="R13" s="1">
        <v>3000</v>
      </c>
      <c r="S13" s="1">
        <v>-0.3</v>
      </c>
      <c r="T13" s="1">
        <v>0.2</v>
      </c>
      <c r="U13" s="1">
        <v>139.29</v>
      </c>
      <c r="V13" s="1">
        <v>293</v>
      </c>
      <c r="W13" s="1">
        <v>375</v>
      </c>
      <c r="X13" s="1">
        <v>82050</v>
      </c>
      <c r="Y13" s="1"/>
      <c r="AA13" s="57">
        <f t="shared" si="2"/>
        <v>0.35915955351280365</v>
      </c>
    </row>
    <row r="14" spans="1:27" x14ac:dyDescent="0.5">
      <c r="A14" t="str">
        <f t="shared" si="0"/>
        <v>CE7550</v>
      </c>
      <c r="B14" t="str">
        <f t="shared" si="1"/>
        <v>PE7550</v>
      </c>
      <c r="D14" s="1" t="s">
        <v>14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>
        <v>2100</v>
      </c>
      <c r="K14" s="1">
        <v>1791.95</v>
      </c>
      <c r="L14" s="1">
        <v>1835.85</v>
      </c>
      <c r="M14" s="1">
        <v>2100</v>
      </c>
      <c r="N14" s="1">
        <v>7550</v>
      </c>
      <c r="O14" s="1" t="s">
        <v>14</v>
      </c>
      <c r="P14" s="1" t="s">
        <v>14</v>
      </c>
      <c r="Q14" s="1">
        <v>2</v>
      </c>
      <c r="R14" s="1">
        <v>600</v>
      </c>
      <c r="S14" s="1" t="s">
        <v>14</v>
      </c>
      <c r="T14" s="1" t="s">
        <v>14</v>
      </c>
      <c r="U14" s="1" t="s">
        <v>14</v>
      </c>
      <c r="V14" s="1" t="s">
        <v>14</v>
      </c>
      <c r="W14" s="1" t="s">
        <v>14</v>
      </c>
      <c r="X14" s="1" t="s">
        <v>14</v>
      </c>
      <c r="Y14" s="1"/>
      <c r="AA14" s="57" t="e">
        <f t="shared" si="2"/>
        <v>#VALUE!</v>
      </c>
    </row>
    <row r="15" spans="1:27" x14ac:dyDescent="0.5">
      <c r="A15" t="str">
        <f t="shared" si="0"/>
        <v>CE7600</v>
      </c>
      <c r="B15" t="str">
        <f t="shared" si="1"/>
        <v>PE7600</v>
      </c>
      <c r="D15" s="1">
        <v>20625</v>
      </c>
      <c r="E15" s="1">
        <v>-13125</v>
      </c>
      <c r="F15" s="1">
        <v>188</v>
      </c>
      <c r="G15" s="1" t="s">
        <v>14</v>
      </c>
      <c r="H15" s="1">
        <v>1747.35</v>
      </c>
      <c r="I15" s="1">
        <v>-47.2</v>
      </c>
      <c r="J15" s="1">
        <v>75</v>
      </c>
      <c r="K15" s="1">
        <v>1763.1</v>
      </c>
      <c r="L15" s="1">
        <v>1775.05</v>
      </c>
      <c r="M15" s="1">
        <v>75</v>
      </c>
      <c r="N15" s="1">
        <v>7600</v>
      </c>
      <c r="O15" s="1">
        <v>1500</v>
      </c>
      <c r="P15" s="1">
        <v>0.05</v>
      </c>
      <c r="Q15" s="1">
        <v>0.45</v>
      </c>
      <c r="R15" s="1">
        <v>1500</v>
      </c>
      <c r="S15" s="1">
        <v>-0.25</v>
      </c>
      <c r="T15" s="1">
        <v>0.2</v>
      </c>
      <c r="U15" s="1">
        <v>131.59</v>
      </c>
      <c r="V15" s="1">
        <v>20</v>
      </c>
      <c r="W15" s="1">
        <v>-300</v>
      </c>
      <c r="X15" s="1">
        <v>4350</v>
      </c>
      <c r="Y15" s="1"/>
      <c r="AA15" s="57">
        <f t="shared" si="2"/>
        <v>0.21090909090909091</v>
      </c>
    </row>
    <row r="16" spans="1:27" x14ac:dyDescent="0.5">
      <c r="A16" t="str">
        <f t="shared" si="0"/>
        <v>CE7650</v>
      </c>
      <c r="B16" t="str">
        <f t="shared" si="1"/>
        <v>PE7650</v>
      </c>
      <c r="D16" s="1" t="s">
        <v>14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>
        <v>75</v>
      </c>
      <c r="K16" s="1">
        <v>1621</v>
      </c>
      <c r="L16" s="1">
        <v>1769</v>
      </c>
      <c r="M16" s="1">
        <v>75</v>
      </c>
      <c r="N16" s="1">
        <v>7650</v>
      </c>
      <c r="O16" s="1" t="s">
        <v>14</v>
      </c>
      <c r="P16" s="1" t="s">
        <v>14</v>
      </c>
      <c r="Q16" s="1" t="s">
        <v>14</v>
      </c>
      <c r="R16" s="1" t="s">
        <v>14</v>
      </c>
      <c r="S16" s="1" t="s">
        <v>14</v>
      </c>
      <c r="T16" s="1" t="s">
        <v>14</v>
      </c>
      <c r="U16" s="1" t="s">
        <v>14</v>
      </c>
      <c r="V16" s="1" t="s">
        <v>14</v>
      </c>
      <c r="W16" s="1" t="s">
        <v>14</v>
      </c>
      <c r="X16" s="1" t="s">
        <v>14</v>
      </c>
      <c r="Y16" s="1"/>
      <c r="AA16" s="57" t="e">
        <f t="shared" si="2"/>
        <v>#VALUE!</v>
      </c>
    </row>
    <row r="17" spans="1:27" x14ac:dyDescent="0.5">
      <c r="A17" t="str">
        <f t="shared" si="0"/>
        <v>CE7700</v>
      </c>
      <c r="B17" t="str">
        <f t="shared" si="1"/>
        <v>PE7700</v>
      </c>
      <c r="D17" s="1">
        <v>13050</v>
      </c>
      <c r="E17" s="1">
        <v>-9975</v>
      </c>
      <c r="F17" s="1">
        <v>133</v>
      </c>
      <c r="G17" s="1">
        <v>128.09</v>
      </c>
      <c r="H17" s="1">
        <v>1662.95</v>
      </c>
      <c r="I17" s="1">
        <v>-25.65</v>
      </c>
      <c r="J17" s="1">
        <v>75</v>
      </c>
      <c r="K17" s="1">
        <v>1659.35</v>
      </c>
      <c r="L17" s="1">
        <v>1675.05</v>
      </c>
      <c r="M17" s="1">
        <v>75</v>
      </c>
      <c r="N17" s="1">
        <v>7700</v>
      </c>
      <c r="O17" s="1">
        <v>450</v>
      </c>
      <c r="P17" s="1">
        <v>0.05</v>
      </c>
      <c r="Q17" s="1">
        <v>0.35</v>
      </c>
      <c r="R17" s="1">
        <v>1350</v>
      </c>
      <c r="S17" s="1">
        <v>-0.1</v>
      </c>
      <c r="T17" s="1">
        <v>0.25</v>
      </c>
      <c r="U17" s="1">
        <v>126.38</v>
      </c>
      <c r="V17" s="1">
        <v>38</v>
      </c>
      <c r="W17" s="1">
        <v>-1425</v>
      </c>
      <c r="X17" s="1">
        <v>4425</v>
      </c>
      <c r="Y17" s="1"/>
      <c r="AA17" s="57">
        <f t="shared" si="2"/>
        <v>0.33908045977011492</v>
      </c>
    </row>
    <row r="18" spans="1:27" x14ac:dyDescent="0.5">
      <c r="A18" t="str">
        <f t="shared" si="0"/>
        <v>CE7750</v>
      </c>
      <c r="B18" t="str">
        <f t="shared" si="1"/>
        <v>PE7750</v>
      </c>
      <c r="D18" s="1" t="s">
        <v>14</v>
      </c>
      <c r="E18" s="1" t="s">
        <v>14</v>
      </c>
      <c r="F18" s="1" t="s">
        <v>14</v>
      </c>
      <c r="G18" s="1" t="s">
        <v>14</v>
      </c>
      <c r="H18" s="1" t="s">
        <v>14</v>
      </c>
      <c r="I18" s="1" t="s">
        <v>14</v>
      </c>
      <c r="J18" s="1">
        <v>75</v>
      </c>
      <c r="K18" s="1">
        <v>1521</v>
      </c>
      <c r="L18" s="1">
        <v>1669</v>
      </c>
      <c r="M18" s="1">
        <v>75</v>
      </c>
      <c r="N18" s="1">
        <v>7750</v>
      </c>
      <c r="O18" s="1" t="s">
        <v>14</v>
      </c>
      <c r="P18" s="1" t="s">
        <v>14</v>
      </c>
      <c r="Q18" s="1" t="s">
        <v>14</v>
      </c>
      <c r="R18" s="1" t="s">
        <v>14</v>
      </c>
      <c r="S18" s="1" t="s">
        <v>14</v>
      </c>
      <c r="T18" s="1" t="s">
        <v>14</v>
      </c>
      <c r="U18" s="1" t="s">
        <v>14</v>
      </c>
      <c r="V18" s="1" t="s">
        <v>14</v>
      </c>
      <c r="W18" s="1" t="s">
        <v>14</v>
      </c>
      <c r="X18" s="1" t="s">
        <v>14</v>
      </c>
      <c r="Y18" s="1"/>
      <c r="AA18" s="57" t="e">
        <f t="shared" si="2"/>
        <v>#VALUE!</v>
      </c>
    </row>
    <row r="19" spans="1:27" x14ac:dyDescent="0.5">
      <c r="A19" t="str">
        <f t="shared" si="0"/>
        <v>CE7800</v>
      </c>
      <c r="B19" t="str">
        <f t="shared" si="1"/>
        <v>PE7800</v>
      </c>
      <c r="D19" s="1">
        <v>19875</v>
      </c>
      <c r="E19" s="1">
        <v>-5400</v>
      </c>
      <c r="F19" s="1">
        <v>72</v>
      </c>
      <c r="G19" s="1" t="s">
        <v>14</v>
      </c>
      <c r="H19" s="1">
        <v>1555</v>
      </c>
      <c r="I19" s="1">
        <v>-27.2</v>
      </c>
      <c r="J19" s="1">
        <v>75</v>
      </c>
      <c r="K19" s="1">
        <v>1561.95</v>
      </c>
      <c r="L19" s="1">
        <v>1575.05</v>
      </c>
      <c r="M19" s="1">
        <v>75</v>
      </c>
      <c r="N19" s="1">
        <v>7800</v>
      </c>
      <c r="O19" s="1">
        <v>75</v>
      </c>
      <c r="P19" s="1">
        <v>0.1</v>
      </c>
      <c r="Q19" s="1">
        <v>0.3</v>
      </c>
      <c r="R19" s="1">
        <v>975</v>
      </c>
      <c r="S19" s="1">
        <v>0.35</v>
      </c>
      <c r="T19" s="1">
        <v>0.65</v>
      </c>
      <c r="U19" s="1">
        <v>130.04</v>
      </c>
      <c r="V19" s="1">
        <v>8</v>
      </c>
      <c r="W19" s="1">
        <v>-225</v>
      </c>
      <c r="X19" s="1">
        <v>9750</v>
      </c>
      <c r="Y19" s="1"/>
      <c r="AA19" s="57">
        <f t="shared" si="2"/>
        <v>0.49056603773584906</v>
      </c>
    </row>
    <row r="20" spans="1:27" x14ac:dyDescent="0.5">
      <c r="A20" t="str">
        <f t="shared" si="0"/>
        <v>CE7850</v>
      </c>
      <c r="B20" t="str">
        <f t="shared" si="1"/>
        <v>PE7850</v>
      </c>
      <c r="D20" s="1" t="s">
        <v>14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>
        <v>75</v>
      </c>
      <c r="K20" s="1">
        <v>1421</v>
      </c>
      <c r="L20" s="1">
        <v>1569</v>
      </c>
      <c r="M20" s="1">
        <v>75</v>
      </c>
      <c r="N20" s="1">
        <v>7850</v>
      </c>
      <c r="O20" s="1" t="s">
        <v>14</v>
      </c>
      <c r="P20" s="1" t="s">
        <v>14</v>
      </c>
      <c r="Q20" s="1" t="s">
        <v>14</v>
      </c>
      <c r="R20" s="1" t="s">
        <v>14</v>
      </c>
      <c r="S20" s="1" t="s">
        <v>14</v>
      </c>
      <c r="T20" s="1" t="s">
        <v>14</v>
      </c>
      <c r="U20" s="1" t="s">
        <v>14</v>
      </c>
      <c r="V20" s="1" t="s">
        <v>14</v>
      </c>
      <c r="W20" s="1" t="s">
        <v>14</v>
      </c>
      <c r="X20" s="1" t="s">
        <v>14</v>
      </c>
      <c r="Y20" s="1"/>
      <c r="AA20" s="57" t="e">
        <f t="shared" si="2"/>
        <v>#VALUE!</v>
      </c>
    </row>
    <row r="21" spans="1:27" x14ac:dyDescent="0.5">
      <c r="A21" t="str">
        <f t="shared" si="0"/>
        <v>CE7900</v>
      </c>
      <c r="B21" t="str">
        <f t="shared" si="1"/>
        <v>PE7900</v>
      </c>
      <c r="D21" s="1">
        <v>39000</v>
      </c>
      <c r="E21" s="1">
        <v>-44700</v>
      </c>
      <c r="F21" s="1">
        <v>611</v>
      </c>
      <c r="G21" s="1" t="s">
        <v>14</v>
      </c>
      <c r="H21" s="1">
        <v>1460.8</v>
      </c>
      <c r="I21" s="1">
        <v>-31.15</v>
      </c>
      <c r="J21" s="1">
        <v>75</v>
      </c>
      <c r="K21" s="1">
        <v>1442</v>
      </c>
      <c r="L21" s="1">
        <v>1476.1</v>
      </c>
      <c r="M21" s="1">
        <v>75</v>
      </c>
      <c r="N21" s="1">
        <v>7900</v>
      </c>
      <c r="O21" s="1">
        <v>75</v>
      </c>
      <c r="P21" s="1">
        <v>0.2</v>
      </c>
      <c r="Q21" s="1">
        <v>0.3</v>
      </c>
      <c r="R21" s="1">
        <v>2550</v>
      </c>
      <c r="S21" s="1">
        <v>-0.4</v>
      </c>
      <c r="T21" s="1">
        <v>0.3</v>
      </c>
      <c r="U21" s="1">
        <v>112.92</v>
      </c>
      <c r="V21" s="1">
        <v>220</v>
      </c>
      <c r="W21" s="1">
        <v>-8700</v>
      </c>
      <c r="X21" s="1">
        <v>15900</v>
      </c>
      <c r="Y21" s="1"/>
      <c r="AA21" s="57">
        <f t="shared" si="2"/>
        <v>0.40769230769230769</v>
      </c>
    </row>
    <row r="22" spans="1:27" x14ac:dyDescent="0.5">
      <c r="A22" t="str">
        <f t="shared" si="0"/>
        <v>CE7950</v>
      </c>
      <c r="B22" t="str">
        <f t="shared" si="1"/>
        <v>PE7950</v>
      </c>
      <c r="D22" s="1" t="s">
        <v>14</v>
      </c>
      <c r="E22" s="1" t="s">
        <v>14</v>
      </c>
      <c r="F22" s="1" t="s">
        <v>14</v>
      </c>
      <c r="G22" s="1" t="s">
        <v>14</v>
      </c>
      <c r="H22" s="1" t="s">
        <v>14</v>
      </c>
      <c r="I22" s="1" t="s">
        <v>14</v>
      </c>
      <c r="J22" s="1">
        <v>75</v>
      </c>
      <c r="K22" s="1">
        <v>1321</v>
      </c>
      <c r="L22" s="1">
        <v>1469</v>
      </c>
      <c r="M22" s="1">
        <v>75</v>
      </c>
      <c r="N22" s="1">
        <v>7950</v>
      </c>
      <c r="O22" s="1" t="s">
        <v>14</v>
      </c>
      <c r="P22" s="1" t="s">
        <v>14</v>
      </c>
      <c r="Q22" s="1" t="s">
        <v>14</v>
      </c>
      <c r="R22" s="1" t="s">
        <v>14</v>
      </c>
      <c r="S22" s="1" t="s">
        <v>14</v>
      </c>
      <c r="T22" s="1" t="s">
        <v>14</v>
      </c>
      <c r="U22" s="1" t="s">
        <v>14</v>
      </c>
      <c r="V22" s="1" t="s">
        <v>14</v>
      </c>
      <c r="W22" s="1" t="s">
        <v>14</v>
      </c>
      <c r="X22" s="1" t="s">
        <v>14</v>
      </c>
      <c r="Y22" s="1"/>
      <c r="AA22" s="57" t="e">
        <f t="shared" si="2"/>
        <v>#VALUE!</v>
      </c>
    </row>
    <row r="23" spans="1:27" x14ac:dyDescent="0.5">
      <c r="A23" t="str">
        <f t="shared" si="0"/>
        <v>CE8000</v>
      </c>
      <c r="B23" t="str">
        <f t="shared" si="1"/>
        <v>PE8000</v>
      </c>
      <c r="D23" s="1">
        <v>530250</v>
      </c>
      <c r="E23" s="1">
        <v>-295500</v>
      </c>
      <c r="F23" s="1">
        <v>4701</v>
      </c>
      <c r="G23" s="1">
        <v>143.97</v>
      </c>
      <c r="H23" s="1">
        <v>1367.1</v>
      </c>
      <c r="I23" s="1">
        <v>-18.55</v>
      </c>
      <c r="J23" s="1">
        <v>150</v>
      </c>
      <c r="K23" s="1">
        <v>1365.65</v>
      </c>
      <c r="L23" s="1">
        <v>1371.7</v>
      </c>
      <c r="M23" s="1">
        <v>150</v>
      </c>
      <c r="N23" s="1">
        <v>8000</v>
      </c>
      <c r="O23" s="1">
        <v>6075</v>
      </c>
      <c r="P23" s="1">
        <v>0.2</v>
      </c>
      <c r="Q23" s="1">
        <v>0.3</v>
      </c>
      <c r="R23" s="1">
        <v>375</v>
      </c>
      <c r="S23" s="1">
        <v>-0.45</v>
      </c>
      <c r="T23" s="1">
        <v>0.3</v>
      </c>
      <c r="U23" s="1">
        <v>105.25</v>
      </c>
      <c r="V23" s="1">
        <v>1799</v>
      </c>
      <c r="W23" s="1">
        <v>-35175</v>
      </c>
      <c r="X23" s="1">
        <v>248550</v>
      </c>
      <c r="Y23" s="1"/>
      <c r="AA23" s="57">
        <f t="shared" si="2"/>
        <v>0.46874115983026876</v>
      </c>
    </row>
    <row r="24" spans="1:27" x14ac:dyDescent="0.5">
      <c r="A24" t="str">
        <f t="shared" si="0"/>
        <v>CE8050</v>
      </c>
      <c r="B24" t="str">
        <f t="shared" si="1"/>
        <v>PE8050</v>
      </c>
      <c r="D24" s="1" t="s">
        <v>14</v>
      </c>
      <c r="E24" s="1" t="s">
        <v>14</v>
      </c>
      <c r="F24" s="1" t="s">
        <v>14</v>
      </c>
      <c r="G24" s="1" t="s">
        <v>14</v>
      </c>
      <c r="H24" s="1" t="s">
        <v>14</v>
      </c>
      <c r="I24" s="1" t="s">
        <v>14</v>
      </c>
      <c r="J24" s="1">
        <v>2100</v>
      </c>
      <c r="K24" s="1">
        <v>1291.95</v>
      </c>
      <c r="L24" s="1">
        <v>1335.85</v>
      </c>
      <c r="M24" s="1">
        <v>2100</v>
      </c>
      <c r="N24" s="1">
        <v>8050</v>
      </c>
      <c r="O24" s="1" t="s">
        <v>14</v>
      </c>
      <c r="P24" s="1" t="s">
        <v>14</v>
      </c>
      <c r="Q24" s="1">
        <v>2</v>
      </c>
      <c r="R24" s="1">
        <v>600</v>
      </c>
      <c r="S24" s="1" t="s">
        <v>14</v>
      </c>
      <c r="T24" s="1" t="s">
        <v>14</v>
      </c>
      <c r="U24" s="1" t="s">
        <v>14</v>
      </c>
      <c r="V24" s="1" t="s">
        <v>14</v>
      </c>
      <c r="W24" s="1" t="s">
        <v>14</v>
      </c>
      <c r="X24" s="1" t="s">
        <v>14</v>
      </c>
      <c r="Y24" s="1"/>
      <c r="AA24" s="57" t="e">
        <f t="shared" si="2"/>
        <v>#VALUE!</v>
      </c>
    </row>
    <row r="25" spans="1:27" x14ac:dyDescent="0.5">
      <c r="A25" t="str">
        <f t="shared" si="0"/>
        <v>CE8100</v>
      </c>
      <c r="B25" t="str">
        <f t="shared" si="1"/>
        <v>PE8100</v>
      </c>
      <c r="D25" s="1">
        <v>323325</v>
      </c>
      <c r="E25" s="1">
        <v>-25200</v>
      </c>
      <c r="F25" s="1">
        <v>350</v>
      </c>
      <c r="G25" s="1">
        <v>113.31</v>
      </c>
      <c r="H25" s="1">
        <v>1264</v>
      </c>
      <c r="I25" s="1">
        <v>-30.05</v>
      </c>
      <c r="J25" s="1">
        <v>75</v>
      </c>
      <c r="K25" s="1">
        <v>1263.5999999999999</v>
      </c>
      <c r="L25" s="1">
        <v>1276.0999999999999</v>
      </c>
      <c r="M25" s="1">
        <v>75</v>
      </c>
      <c r="N25" s="1">
        <v>8100</v>
      </c>
      <c r="O25" s="1">
        <v>4050</v>
      </c>
      <c r="P25" s="1">
        <v>0.25</v>
      </c>
      <c r="Q25" s="1">
        <v>0.4</v>
      </c>
      <c r="R25" s="1">
        <v>75</v>
      </c>
      <c r="S25" s="1">
        <v>-0.2</v>
      </c>
      <c r="T25" s="1">
        <v>0.4</v>
      </c>
      <c r="U25" s="1">
        <v>100.37</v>
      </c>
      <c r="V25" s="1">
        <v>444</v>
      </c>
      <c r="W25" s="1">
        <v>-450</v>
      </c>
      <c r="X25" s="1">
        <v>58350</v>
      </c>
      <c r="Y25" s="1"/>
      <c r="AA25" s="57">
        <f t="shared" si="2"/>
        <v>0.1804685687775458</v>
      </c>
    </row>
    <row r="26" spans="1:27" x14ac:dyDescent="0.5">
      <c r="A26" t="str">
        <f t="shared" si="0"/>
        <v>CE8150</v>
      </c>
      <c r="B26" t="str">
        <f t="shared" si="1"/>
        <v>PE8150</v>
      </c>
      <c r="D26" s="1" t="s">
        <v>14</v>
      </c>
      <c r="E26" s="1" t="s">
        <v>14</v>
      </c>
      <c r="F26" s="1" t="s">
        <v>14</v>
      </c>
      <c r="G26" s="1" t="s">
        <v>14</v>
      </c>
      <c r="H26" s="1" t="s">
        <v>14</v>
      </c>
      <c r="I26" s="1" t="s">
        <v>14</v>
      </c>
      <c r="J26" s="1">
        <v>75</v>
      </c>
      <c r="K26" s="1">
        <v>1121</v>
      </c>
      <c r="L26" s="1">
        <v>1269</v>
      </c>
      <c r="M26" s="1">
        <v>75</v>
      </c>
      <c r="N26" s="1">
        <v>8150</v>
      </c>
      <c r="O26" s="1" t="s">
        <v>14</v>
      </c>
      <c r="P26" s="1" t="s">
        <v>14</v>
      </c>
      <c r="Q26" s="1" t="s">
        <v>14</v>
      </c>
      <c r="R26" s="1" t="s">
        <v>14</v>
      </c>
      <c r="S26" s="1" t="s">
        <v>14</v>
      </c>
      <c r="T26" s="1" t="s">
        <v>14</v>
      </c>
      <c r="U26" s="1" t="s">
        <v>14</v>
      </c>
      <c r="V26" s="1" t="s">
        <v>14</v>
      </c>
      <c r="W26" s="1" t="s">
        <v>14</v>
      </c>
      <c r="X26" s="1" t="s">
        <v>14</v>
      </c>
      <c r="Y26" s="1"/>
      <c r="AA26" s="57" t="e">
        <f t="shared" si="2"/>
        <v>#VALUE!</v>
      </c>
    </row>
    <row r="27" spans="1:27" x14ac:dyDescent="0.5">
      <c r="A27" t="str">
        <f t="shared" si="0"/>
        <v>CE8200</v>
      </c>
      <c r="B27" t="str">
        <f t="shared" si="1"/>
        <v>PE8200</v>
      </c>
      <c r="D27" s="1">
        <v>347175</v>
      </c>
      <c r="E27" s="1">
        <v>2850</v>
      </c>
      <c r="F27" s="1">
        <v>895</v>
      </c>
      <c r="G27" s="1">
        <v>119.28</v>
      </c>
      <c r="H27" s="1">
        <v>1166.0999999999999</v>
      </c>
      <c r="I27" s="1">
        <v>-23.95</v>
      </c>
      <c r="J27" s="1">
        <v>1575</v>
      </c>
      <c r="K27" s="1">
        <v>1167.7</v>
      </c>
      <c r="L27" s="1">
        <v>1176.55</v>
      </c>
      <c r="M27" s="1">
        <v>75</v>
      </c>
      <c r="N27" s="1">
        <v>8200</v>
      </c>
      <c r="O27" s="1">
        <v>4800</v>
      </c>
      <c r="P27" s="1">
        <v>0.25</v>
      </c>
      <c r="Q27" s="1">
        <v>0.45</v>
      </c>
      <c r="R27" s="1">
        <v>3900</v>
      </c>
      <c r="S27" s="1">
        <v>-0.5</v>
      </c>
      <c r="T27" s="1">
        <v>0.25</v>
      </c>
      <c r="U27" s="1">
        <v>88.53</v>
      </c>
      <c r="V27" s="1">
        <v>696</v>
      </c>
      <c r="W27" s="1">
        <v>-9375</v>
      </c>
      <c r="X27" s="1">
        <v>133575</v>
      </c>
      <c r="Y27" s="1"/>
      <c r="AA27" s="57">
        <f t="shared" si="2"/>
        <v>0.38474832577230506</v>
      </c>
    </row>
    <row r="28" spans="1:27" x14ac:dyDescent="0.5">
      <c r="A28" t="str">
        <f t="shared" si="0"/>
        <v>CE8250</v>
      </c>
      <c r="B28" t="str">
        <f t="shared" si="1"/>
        <v>PE8250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14</v>
      </c>
      <c r="J28" s="1">
        <v>75</v>
      </c>
      <c r="K28" s="1">
        <v>1021</v>
      </c>
      <c r="L28" s="1">
        <v>1169</v>
      </c>
      <c r="M28" s="1">
        <v>75</v>
      </c>
      <c r="N28" s="1">
        <v>8250</v>
      </c>
      <c r="O28" s="1" t="s">
        <v>14</v>
      </c>
      <c r="P28" s="1" t="s">
        <v>14</v>
      </c>
      <c r="Q28" s="1" t="s">
        <v>14</v>
      </c>
      <c r="R28" s="1" t="s">
        <v>14</v>
      </c>
      <c r="S28" s="1" t="s">
        <v>14</v>
      </c>
      <c r="T28" s="1" t="s">
        <v>14</v>
      </c>
      <c r="U28" s="1" t="s">
        <v>14</v>
      </c>
      <c r="V28" s="1" t="s">
        <v>14</v>
      </c>
      <c r="W28" s="1" t="s">
        <v>14</v>
      </c>
      <c r="X28" s="1" t="s">
        <v>14</v>
      </c>
      <c r="Y28" s="1"/>
      <c r="AA28" s="57" t="e">
        <f t="shared" si="2"/>
        <v>#VALUE!</v>
      </c>
    </row>
    <row r="29" spans="1:27" x14ac:dyDescent="0.5">
      <c r="A29" t="str">
        <f t="shared" si="0"/>
        <v>CE8300</v>
      </c>
      <c r="B29" t="str">
        <f t="shared" si="1"/>
        <v>PE8300</v>
      </c>
      <c r="D29" s="1">
        <v>395325</v>
      </c>
      <c r="E29" s="1">
        <v>-37950</v>
      </c>
      <c r="F29" s="1">
        <v>552</v>
      </c>
      <c r="G29" s="1" t="s">
        <v>14</v>
      </c>
      <c r="H29" s="1">
        <v>1058</v>
      </c>
      <c r="I29" s="1">
        <v>-29.3</v>
      </c>
      <c r="J29" s="1">
        <v>150</v>
      </c>
      <c r="K29" s="1">
        <v>1067.75</v>
      </c>
      <c r="L29" s="1">
        <v>1071.5</v>
      </c>
      <c r="M29" s="1">
        <v>75</v>
      </c>
      <c r="N29" s="1">
        <v>8300</v>
      </c>
      <c r="O29" s="1">
        <v>1425</v>
      </c>
      <c r="P29" s="1">
        <v>0.25</v>
      </c>
      <c r="Q29" s="1">
        <v>0.45</v>
      </c>
      <c r="R29" s="1">
        <v>4500</v>
      </c>
      <c r="S29" s="1">
        <v>-0.6</v>
      </c>
      <c r="T29" s="1">
        <v>0.25</v>
      </c>
      <c r="U29" s="1">
        <v>81.12</v>
      </c>
      <c r="V29" s="1">
        <v>281</v>
      </c>
      <c r="W29" s="1">
        <v>-2175</v>
      </c>
      <c r="X29" s="1">
        <v>212250</v>
      </c>
      <c r="Y29" s="1"/>
      <c r="AA29" s="57">
        <f t="shared" si="2"/>
        <v>0.53690001897173212</v>
      </c>
    </row>
    <row r="30" spans="1:27" x14ac:dyDescent="0.5">
      <c r="A30" t="str">
        <f t="shared" si="0"/>
        <v>CE8350</v>
      </c>
      <c r="B30" t="str">
        <f t="shared" si="1"/>
        <v>PE8350</v>
      </c>
      <c r="D30" s="1" t="s">
        <v>14</v>
      </c>
      <c r="E30" s="1" t="s">
        <v>14</v>
      </c>
      <c r="F30" s="1" t="s">
        <v>14</v>
      </c>
      <c r="G30" s="1" t="s">
        <v>14</v>
      </c>
      <c r="H30" s="1" t="s">
        <v>14</v>
      </c>
      <c r="I30" s="1" t="s">
        <v>14</v>
      </c>
      <c r="J30" s="1">
        <v>75</v>
      </c>
      <c r="K30" s="1">
        <v>921</v>
      </c>
      <c r="L30" s="1">
        <v>1069</v>
      </c>
      <c r="M30" s="1">
        <v>75</v>
      </c>
      <c r="N30" s="1">
        <v>8350</v>
      </c>
      <c r="O30" s="1" t="s">
        <v>14</v>
      </c>
      <c r="P30" s="1" t="s">
        <v>14</v>
      </c>
      <c r="Q30" s="1">
        <v>2</v>
      </c>
      <c r="R30" s="1">
        <v>600</v>
      </c>
      <c r="S30" s="1" t="s">
        <v>14</v>
      </c>
      <c r="T30" s="1">
        <v>0.5</v>
      </c>
      <c r="U30" s="1" t="s">
        <v>14</v>
      </c>
      <c r="V30" s="1" t="s">
        <v>14</v>
      </c>
      <c r="W30" s="1" t="s">
        <v>14</v>
      </c>
      <c r="X30" s="1">
        <v>75</v>
      </c>
      <c r="Y30" s="1"/>
      <c r="AA30" s="57" t="e">
        <f t="shared" si="2"/>
        <v>#VALUE!</v>
      </c>
    </row>
    <row r="31" spans="1:27" x14ac:dyDescent="0.5">
      <c r="A31" t="str">
        <f t="shared" si="0"/>
        <v>CE8400</v>
      </c>
      <c r="B31" t="str">
        <f t="shared" si="1"/>
        <v>PE8400</v>
      </c>
      <c r="D31" s="1">
        <v>213075</v>
      </c>
      <c r="E31" s="1">
        <v>-53925</v>
      </c>
      <c r="F31" s="1">
        <v>856</v>
      </c>
      <c r="G31" s="1" t="s">
        <v>14</v>
      </c>
      <c r="H31" s="1">
        <v>962.75</v>
      </c>
      <c r="I31" s="1">
        <v>-28.3</v>
      </c>
      <c r="J31" s="1">
        <v>75</v>
      </c>
      <c r="K31" s="1">
        <v>965.15</v>
      </c>
      <c r="L31" s="1">
        <v>969.95</v>
      </c>
      <c r="M31" s="1">
        <v>525</v>
      </c>
      <c r="N31" s="1">
        <v>8400</v>
      </c>
      <c r="O31" s="1">
        <v>750</v>
      </c>
      <c r="P31" s="1">
        <v>0.1</v>
      </c>
      <c r="Q31" s="1">
        <v>0.3</v>
      </c>
      <c r="R31" s="1">
        <v>6000</v>
      </c>
      <c r="S31" s="1">
        <v>-0.75</v>
      </c>
      <c r="T31" s="1">
        <v>0.3</v>
      </c>
      <c r="U31" s="1">
        <v>75.06</v>
      </c>
      <c r="V31" s="1">
        <v>2205</v>
      </c>
      <c r="W31" s="1">
        <v>-150</v>
      </c>
      <c r="X31" s="1">
        <v>544575</v>
      </c>
      <c r="Y31" s="1"/>
      <c r="AA31" s="57">
        <f t="shared" si="2"/>
        <v>2.5557902147131291</v>
      </c>
    </row>
    <row r="32" spans="1:27" x14ac:dyDescent="0.5">
      <c r="A32" t="str">
        <f t="shared" si="0"/>
        <v>CE8450</v>
      </c>
      <c r="B32" t="str">
        <f t="shared" si="1"/>
        <v>PE8450</v>
      </c>
      <c r="D32" s="1" t="s">
        <v>14</v>
      </c>
      <c r="E32" s="1" t="s">
        <v>14</v>
      </c>
      <c r="F32" s="1" t="s">
        <v>14</v>
      </c>
      <c r="G32" s="1" t="s">
        <v>14</v>
      </c>
      <c r="H32" s="1" t="s">
        <v>14</v>
      </c>
      <c r="I32" s="1" t="s">
        <v>14</v>
      </c>
      <c r="J32" s="1">
        <v>375</v>
      </c>
      <c r="K32" s="1">
        <v>830.6</v>
      </c>
      <c r="L32" s="1">
        <v>961.35</v>
      </c>
      <c r="M32" s="1">
        <v>375</v>
      </c>
      <c r="N32" s="1">
        <v>8450</v>
      </c>
      <c r="O32" s="1" t="s">
        <v>14</v>
      </c>
      <c r="P32" s="1" t="s">
        <v>14</v>
      </c>
      <c r="Q32" s="1">
        <v>1.9</v>
      </c>
      <c r="R32" s="1">
        <v>75</v>
      </c>
      <c r="S32" s="1" t="s">
        <v>14</v>
      </c>
      <c r="T32" s="1">
        <v>1.9</v>
      </c>
      <c r="U32" s="1" t="s">
        <v>14</v>
      </c>
      <c r="V32" s="1" t="s">
        <v>14</v>
      </c>
      <c r="W32" s="1" t="s">
        <v>14</v>
      </c>
      <c r="X32" s="1">
        <v>75</v>
      </c>
      <c r="Y32" s="1"/>
      <c r="AA32" s="57" t="e">
        <f t="shared" si="2"/>
        <v>#VALUE!</v>
      </c>
    </row>
    <row r="33" spans="1:27" x14ac:dyDescent="0.5">
      <c r="A33" t="str">
        <f t="shared" si="0"/>
        <v>CE8500</v>
      </c>
      <c r="B33" t="str">
        <f t="shared" si="1"/>
        <v>PE8500</v>
      </c>
      <c r="D33" s="1">
        <v>165675</v>
      </c>
      <c r="E33" s="1">
        <v>-192600</v>
      </c>
      <c r="F33" s="1">
        <v>3762</v>
      </c>
      <c r="G33" s="1">
        <v>106.57</v>
      </c>
      <c r="H33" s="1">
        <v>871.25</v>
      </c>
      <c r="I33" s="1">
        <v>-13.35</v>
      </c>
      <c r="J33" s="1">
        <v>75</v>
      </c>
      <c r="K33" s="1">
        <v>867.35</v>
      </c>
      <c r="L33" s="1">
        <v>871.25</v>
      </c>
      <c r="M33" s="1">
        <v>75</v>
      </c>
      <c r="N33" s="1">
        <v>8500</v>
      </c>
      <c r="O33" s="1">
        <v>5550</v>
      </c>
      <c r="P33" s="1">
        <v>0.25</v>
      </c>
      <c r="Q33" s="1">
        <v>0.3</v>
      </c>
      <c r="R33" s="1">
        <v>9075</v>
      </c>
      <c r="S33" s="1">
        <v>-0.7</v>
      </c>
      <c r="T33" s="1">
        <v>0.25</v>
      </c>
      <c r="U33" s="1">
        <v>66.400000000000006</v>
      </c>
      <c r="V33" s="1">
        <v>6154</v>
      </c>
      <c r="W33" s="1">
        <v>-42075</v>
      </c>
      <c r="X33" s="1">
        <v>1128150</v>
      </c>
      <c r="Y33" s="1"/>
      <c r="AA33" s="57">
        <f t="shared" si="2"/>
        <v>6.8094160253508376</v>
      </c>
    </row>
    <row r="34" spans="1:27" x14ac:dyDescent="0.5">
      <c r="A34" t="str">
        <f t="shared" si="0"/>
        <v>CE8550</v>
      </c>
      <c r="B34" t="str">
        <f t="shared" si="1"/>
        <v>PE8550</v>
      </c>
      <c r="D34" s="1" t="s">
        <v>14</v>
      </c>
      <c r="E34" s="1" t="s">
        <v>14</v>
      </c>
      <c r="F34" s="1" t="s">
        <v>14</v>
      </c>
      <c r="G34" s="1" t="s">
        <v>14</v>
      </c>
      <c r="H34" s="1" t="s">
        <v>14</v>
      </c>
      <c r="I34" s="1" t="s">
        <v>14</v>
      </c>
      <c r="J34" s="1">
        <v>375</v>
      </c>
      <c r="K34" s="1">
        <v>792</v>
      </c>
      <c r="L34" s="1">
        <v>835.85</v>
      </c>
      <c r="M34" s="1">
        <v>2100</v>
      </c>
      <c r="N34" s="1">
        <v>8550</v>
      </c>
      <c r="O34" s="1" t="s">
        <v>14</v>
      </c>
      <c r="P34" s="1" t="s">
        <v>14</v>
      </c>
      <c r="Q34" s="1">
        <v>1.5</v>
      </c>
      <c r="R34" s="1">
        <v>750</v>
      </c>
      <c r="S34" s="1" t="s">
        <v>14</v>
      </c>
      <c r="T34" s="1">
        <v>2</v>
      </c>
      <c r="U34" s="1" t="s">
        <v>14</v>
      </c>
      <c r="V34" s="1" t="s">
        <v>14</v>
      </c>
      <c r="W34" s="1" t="s">
        <v>14</v>
      </c>
      <c r="X34" s="1">
        <v>450</v>
      </c>
      <c r="Y34" s="1"/>
      <c r="AA34" s="57" t="e">
        <f t="shared" si="2"/>
        <v>#VALUE!</v>
      </c>
    </row>
    <row r="35" spans="1:27" x14ac:dyDescent="0.5">
      <c r="A35" t="str">
        <f t="shared" si="0"/>
        <v>CE8600</v>
      </c>
      <c r="B35" t="str">
        <f t="shared" si="1"/>
        <v>PE8600</v>
      </c>
      <c r="D35" s="1">
        <v>161925</v>
      </c>
      <c r="E35" s="1">
        <v>-51975</v>
      </c>
      <c r="F35" s="1">
        <v>915</v>
      </c>
      <c r="G35" s="1" t="s">
        <v>14</v>
      </c>
      <c r="H35" s="1">
        <v>760.4</v>
      </c>
      <c r="I35" s="1">
        <v>-27.75</v>
      </c>
      <c r="J35" s="1">
        <v>75</v>
      </c>
      <c r="K35" s="1">
        <v>769.95</v>
      </c>
      <c r="L35" s="1">
        <v>771.95</v>
      </c>
      <c r="M35" s="1">
        <v>75</v>
      </c>
      <c r="N35" s="1">
        <v>8600</v>
      </c>
      <c r="O35" s="1">
        <v>3225</v>
      </c>
      <c r="P35" s="1">
        <v>0.3</v>
      </c>
      <c r="Q35" s="1">
        <v>0.35</v>
      </c>
      <c r="R35" s="1">
        <v>1950</v>
      </c>
      <c r="S35" s="1">
        <v>-0.8</v>
      </c>
      <c r="T35" s="1">
        <v>0.35</v>
      </c>
      <c r="U35" s="1">
        <v>61.13</v>
      </c>
      <c r="V35" s="1">
        <v>6416</v>
      </c>
      <c r="W35" s="1">
        <v>-10125</v>
      </c>
      <c r="X35" s="1">
        <v>956100</v>
      </c>
      <c r="Y35" s="1"/>
      <c r="AA35" s="57">
        <f t="shared" si="2"/>
        <v>5.9045854562297357</v>
      </c>
    </row>
    <row r="36" spans="1:27" x14ac:dyDescent="0.5">
      <c r="A36" t="str">
        <f t="shared" si="0"/>
        <v>CE8650</v>
      </c>
      <c r="B36" t="str">
        <f t="shared" si="1"/>
        <v>PE8650</v>
      </c>
      <c r="D36" s="1">
        <v>450</v>
      </c>
      <c r="E36" s="1" t="s">
        <v>14</v>
      </c>
      <c r="F36" s="1" t="s">
        <v>14</v>
      </c>
      <c r="G36" s="1" t="s">
        <v>14</v>
      </c>
      <c r="H36" s="1">
        <v>775.45</v>
      </c>
      <c r="I36" s="1" t="s">
        <v>14</v>
      </c>
      <c r="J36" s="1">
        <v>75</v>
      </c>
      <c r="K36" s="1">
        <v>600</v>
      </c>
      <c r="L36" s="1">
        <v>719.95</v>
      </c>
      <c r="M36" s="1">
        <v>75</v>
      </c>
      <c r="N36" s="1">
        <v>8650</v>
      </c>
      <c r="O36" s="1">
        <v>3000</v>
      </c>
      <c r="P36" s="1">
        <v>0.1</v>
      </c>
      <c r="Q36" s="1" t="s">
        <v>14</v>
      </c>
      <c r="R36" s="1" t="s">
        <v>14</v>
      </c>
      <c r="S36" s="1">
        <v>-0.8</v>
      </c>
      <c r="T36" s="1">
        <v>0.4</v>
      </c>
      <c r="U36" s="1">
        <v>58.19</v>
      </c>
      <c r="V36" s="1">
        <v>5</v>
      </c>
      <c r="W36" s="1" t="s">
        <v>14</v>
      </c>
      <c r="X36" s="1">
        <v>450</v>
      </c>
      <c r="Y36" s="1"/>
      <c r="AA36" s="57">
        <f t="shared" si="2"/>
        <v>1</v>
      </c>
    </row>
    <row r="37" spans="1:27" x14ac:dyDescent="0.5">
      <c r="A37" t="str">
        <f t="shared" si="0"/>
        <v>CE8700</v>
      </c>
      <c r="B37" t="str">
        <f t="shared" si="1"/>
        <v>PE8700</v>
      </c>
      <c r="D37" s="1">
        <v>86925</v>
      </c>
      <c r="E37" s="1">
        <v>-111750</v>
      </c>
      <c r="F37" s="1">
        <v>2119</v>
      </c>
      <c r="G37" s="1">
        <v>62.5</v>
      </c>
      <c r="H37" s="1">
        <v>664.2</v>
      </c>
      <c r="I37" s="1">
        <v>-18.600000000000001</v>
      </c>
      <c r="J37" s="1">
        <v>150</v>
      </c>
      <c r="K37" s="1">
        <v>662.3</v>
      </c>
      <c r="L37" s="1">
        <v>676.1</v>
      </c>
      <c r="M37" s="1">
        <v>75</v>
      </c>
      <c r="N37" s="1">
        <v>8700</v>
      </c>
      <c r="O37" s="1">
        <v>7650</v>
      </c>
      <c r="P37" s="1">
        <v>0.35</v>
      </c>
      <c r="Q37" s="1">
        <v>0.4</v>
      </c>
      <c r="R37" s="1">
        <v>7500</v>
      </c>
      <c r="S37" s="1">
        <v>-0.8</v>
      </c>
      <c r="T37" s="1">
        <v>0.35</v>
      </c>
      <c r="U37" s="1">
        <v>53.61</v>
      </c>
      <c r="V37" s="1">
        <v>12664</v>
      </c>
      <c r="W37" s="1">
        <v>-99600</v>
      </c>
      <c r="X37" s="1">
        <v>1058475</v>
      </c>
      <c r="Y37" s="1"/>
      <c r="AA37" s="57">
        <f t="shared" si="2"/>
        <v>12.176876617773942</v>
      </c>
    </row>
    <row r="38" spans="1:27" x14ac:dyDescent="0.5">
      <c r="A38" t="str">
        <f t="shared" si="0"/>
        <v>CE8750</v>
      </c>
      <c r="B38" t="str">
        <f t="shared" si="1"/>
        <v>PE8750</v>
      </c>
      <c r="D38" s="1">
        <v>825</v>
      </c>
      <c r="E38" s="1" t="s">
        <v>14</v>
      </c>
      <c r="F38" s="1" t="s">
        <v>14</v>
      </c>
      <c r="G38" s="1" t="s">
        <v>14</v>
      </c>
      <c r="H38" s="1">
        <v>675.45</v>
      </c>
      <c r="I38" s="1" t="s">
        <v>14</v>
      </c>
      <c r="J38" s="1">
        <v>375</v>
      </c>
      <c r="K38" s="1">
        <v>583.15</v>
      </c>
      <c r="L38" s="1">
        <v>686.05</v>
      </c>
      <c r="M38" s="1">
        <v>375</v>
      </c>
      <c r="N38" s="1">
        <v>8750</v>
      </c>
      <c r="O38" s="1">
        <v>1875</v>
      </c>
      <c r="P38" s="1">
        <v>0.2</v>
      </c>
      <c r="Q38" s="1">
        <v>0.5</v>
      </c>
      <c r="R38" s="1">
        <v>1050</v>
      </c>
      <c r="S38" s="1">
        <v>-1.1000000000000001</v>
      </c>
      <c r="T38" s="1">
        <v>0.5</v>
      </c>
      <c r="U38" s="1">
        <v>51.86</v>
      </c>
      <c r="V38" s="1">
        <v>73</v>
      </c>
      <c r="W38" s="1">
        <v>3600</v>
      </c>
      <c r="X38" s="1">
        <v>8325</v>
      </c>
      <c r="Y38" s="1"/>
      <c r="AA38" s="57">
        <f t="shared" si="2"/>
        <v>10.090909090909092</v>
      </c>
    </row>
    <row r="39" spans="1:27" x14ac:dyDescent="0.5">
      <c r="A39" t="str">
        <f t="shared" si="0"/>
        <v>CE8800</v>
      </c>
      <c r="B39" t="str">
        <f t="shared" si="1"/>
        <v>PE8800</v>
      </c>
      <c r="D39" s="1">
        <v>139575</v>
      </c>
      <c r="E39" s="1">
        <v>-131175</v>
      </c>
      <c r="F39" s="1">
        <v>2523</v>
      </c>
      <c r="G39" s="1" t="s">
        <v>14</v>
      </c>
      <c r="H39" s="1">
        <v>557.4</v>
      </c>
      <c r="I39" s="1">
        <v>-24.4</v>
      </c>
      <c r="J39" s="1">
        <v>75</v>
      </c>
      <c r="K39" s="1">
        <v>570.95000000000005</v>
      </c>
      <c r="L39" s="1">
        <v>573.04999999999995</v>
      </c>
      <c r="M39" s="1">
        <v>75</v>
      </c>
      <c r="N39" s="1">
        <v>8800</v>
      </c>
      <c r="O39" s="1">
        <v>75</v>
      </c>
      <c r="P39" s="1">
        <v>0.25</v>
      </c>
      <c r="Q39" s="1">
        <v>0.35</v>
      </c>
      <c r="R39" s="1">
        <v>1950</v>
      </c>
      <c r="S39" s="1">
        <v>-1.2</v>
      </c>
      <c r="T39" s="1">
        <v>0.3</v>
      </c>
      <c r="U39" s="1">
        <v>45.31</v>
      </c>
      <c r="V39" s="1">
        <v>16809</v>
      </c>
      <c r="W39" s="1">
        <v>-126300</v>
      </c>
      <c r="X39" s="1">
        <v>1569000</v>
      </c>
      <c r="Y39" s="1"/>
      <c r="AA39" s="57">
        <f t="shared" si="2"/>
        <v>11.241268135411069</v>
      </c>
    </row>
    <row r="40" spans="1:27" x14ac:dyDescent="0.5">
      <c r="A40" t="str">
        <f t="shared" si="0"/>
        <v>CE8850</v>
      </c>
      <c r="B40" t="str">
        <f t="shared" si="1"/>
        <v>PE8850</v>
      </c>
      <c r="D40" s="1">
        <v>75</v>
      </c>
      <c r="E40" s="1" t="s">
        <v>14</v>
      </c>
      <c r="F40" s="1" t="s">
        <v>14</v>
      </c>
      <c r="G40" s="1" t="s">
        <v>14</v>
      </c>
      <c r="H40" s="1">
        <v>620</v>
      </c>
      <c r="I40" s="1" t="s">
        <v>14</v>
      </c>
      <c r="J40" s="1">
        <v>75</v>
      </c>
      <c r="K40" s="1">
        <v>517.70000000000005</v>
      </c>
      <c r="L40" s="1">
        <v>580.15</v>
      </c>
      <c r="M40" s="1">
        <v>375</v>
      </c>
      <c r="N40" s="1">
        <v>8850</v>
      </c>
      <c r="O40" s="1">
        <v>5775</v>
      </c>
      <c r="P40" s="1">
        <v>0.1</v>
      </c>
      <c r="Q40" s="1">
        <v>0.6</v>
      </c>
      <c r="R40" s="1">
        <v>1650</v>
      </c>
      <c r="S40" s="1">
        <v>-1.9</v>
      </c>
      <c r="T40" s="1">
        <v>0.1</v>
      </c>
      <c r="U40" s="1">
        <v>37.28</v>
      </c>
      <c r="V40" s="1">
        <v>729</v>
      </c>
      <c r="W40" s="1">
        <v>-3075</v>
      </c>
      <c r="X40" s="1">
        <v>11475</v>
      </c>
      <c r="Y40" s="1"/>
      <c r="AA40" s="57">
        <f t="shared" si="2"/>
        <v>153</v>
      </c>
    </row>
    <row r="41" spans="1:27" x14ac:dyDescent="0.5">
      <c r="A41" t="str">
        <f t="shared" si="0"/>
        <v>CE8900</v>
      </c>
      <c r="B41" t="str">
        <f t="shared" si="1"/>
        <v>PE8900</v>
      </c>
      <c r="D41" s="1">
        <v>216150</v>
      </c>
      <c r="E41" s="1">
        <v>-66975</v>
      </c>
      <c r="F41" s="1">
        <v>1316</v>
      </c>
      <c r="G41" s="1">
        <v>56.17</v>
      </c>
      <c r="H41" s="1">
        <v>467.6</v>
      </c>
      <c r="I41" s="1">
        <v>-12.7</v>
      </c>
      <c r="J41" s="1">
        <v>450</v>
      </c>
      <c r="K41" s="1">
        <v>465.6</v>
      </c>
      <c r="L41" s="1">
        <v>469.95</v>
      </c>
      <c r="M41" s="1">
        <v>1350</v>
      </c>
      <c r="N41" s="1">
        <v>8900</v>
      </c>
      <c r="O41" s="1">
        <v>5700</v>
      </c>
      <c r="P41" s="1">
        <v>0.45</v>
      </c>
      <c r="Q41" s="1">
        <v>0.5</v>
      </c>
      <c r="R41" s="1">
        <v>6900</v>
      </c>
      <c r="S41" s="1">
        <v>-1.75</v>
      </c>
      <c r="T41" s="1">
        <v>0.5</v>
      </c>
      <c r="U41" s="1">
        <v>40.15</v>
      </c>
      <c r="V41" s="1">
        <v>63717</v>
      </c>
      <c r="W41" s="1">
        <v>-26100</v>
      </c>
      <c r="X41" s="1">
        <v>2579700</v>
      </c>
      <c r="Y41" s="1"/>
      <c r="AA41" s="57">
        <f t="shared" si="2"/>
        <v>11.934767522553782</v>
      </c>
    </row>
    <row r="42" spans="1:27" x14ac:dyDescent="0.5">
      <c r="A42" t="str">
        <f t="shared" ref="A42:A52" si="3">"CE"&amp;N42</f>
        <v>CE8950</v>
      </c>
      <c r="B42" t="str">
        <f t="shared" ref="B42:B52" si="4">"PE"&amp;N42</f>
        <v>PE8950</v>
      </c>
      <c r="D42" s="1" t="s">
        <v>14</v>
      </c>
      <c r="E42" s="1" t="s">
        <v>14</v>
      </c>
      <c r="F42" s="1" t="s">
        <v>14</v>
      </c>
      <c r="G42" s="1" t="s">
        <v>14</v>
      </c>
      <c r="H42" s="1" t="s">
        <v>14</v>
      </c>
      <c r="I42" s="1" t="s">
        <v>14</v>
      </c>
      <c r="J42" s="1">
        <v>1200</v>
      </c>
      <c r="K42" s="1">
        <v>261.2</v>
      </c>
      <c r="L42" s="1">
        <v>512.25</v>
      </c>
      <c r="M42" s="1">
        <v>375</v>
      </c>
      <c r="N42" s="1">
        <v>8950</v>
      </c>
      <c r="O42" s="1">
        <v>450</v>
      </c>
      <c r="P42" s="1">
        <v>0.55000000000000004</v>
      </c>
      <c r="Q42" s="1">
        <v>0.7</v>
      </c>
      <c r="R42" s="1">
        <v>675</v>
      </c>
      <c r="S42" s="1">
        <v>-1.7</v>
      </c>
      <c r="T42" s="1">
        <v>0.7</v>
      </c>
      <c r="U42" s="1">
        <v>37.79</v>
      </c>
      <c r="V42" s="1">
        <v>3146</v>
      </c>
      <c r="W42" s="1">
        <v>-15825</v>
      </c>
      <c r="X42" s="1">
        <v>103275</v>
      </c>
      <c r="Y42" s="1"/>
      <c r="AA42" s="57" t="e">
        <f t="shared" si="2"/>
        <v>#VALUE!</v>
      </c>
    </row>
    <row r="43" spans="1:27" x14ac:dyDescent="0.5">
      <c r="A43" t="str">
        <f t="shared" si="3"/>
        <v>CE9000</v>
      </c>
      <c r="B43" t="str">
        <f t="shared" si="4"/>
        <v>PE9000</v>
      </c>
      <c r="D43" s="1">
        <v>299625</v>
      </c>
      <c r="E43" s="1">
        <v>-96375</v>
      </c>
      <c r="F43" s="1">
        <v>3687</v>
      </c>
      <c r="G43" s="1">
        <v>46.19</v>
      </c>
      <c r="H43" s="1">
        <v>367.75</v>
      </c>
      <c r="I43" s="1">
        <v>-15.5</v>
      </c>
      <c r="J43" s="1">
        <v>75</v>
      </c>
      <c r="K43" s="1">
        <v>367.5</v>
      </c>
      <c r="L43" s="1">
        <v>369.95</v>
      </c>
      <c r="M43" s="1">
        <v>1200</v>
      </c>
      <c r="N43" s="1">
        <v>9000</v>
      </c>
      <c r="O43" s="1">
        <v>1575</v>
      </c>
      <c r="P43" s="1">
        <v>0.7</v>
      </c>
      <c r="Q43" s="1">
        <v>0.75</v>
      </c>
      <c r="R43" s="1">
        <v>2550</v>
      </c>
      <c r="S43" s="1">
        <v>-2.4</v>
      </c>
      <c r="T43" s="1">
        <v>0.7</v>
      </c>
      <c r="U43" s="1">
        <v>33.700000000000003</v>
      </c>
      <c r="V43" s="1">
        <v>129201</v>
      </c>
      <c r="W43" s="1">
        <v>-307725</v>
      </c>
      <c r="X43" s="1">
        <v>4494900</v>
      </c>
      <c r="Y43" s="1"/>
      <c r="AA43" s="57">
        <f t="shared" si="2"/>
        <v>15.001752190237797</v>
      </c>
    </row>
    <row r="44" spans="1:27" x14ac:dyDescent="0.5">
      <c r="A44" t="str">
        <f t="shared" si="3"/>
        <v>CE9050</v>
      </c>
      <c r="B44" t="str">
        <f t="shared" si="4"/>
        <v>PE9050</v>
      </c>
      <c r="D44" s="1">
        <v>1200</v>
      </c>
      <c r="E44" s="1">
        <v>-300</v>
      </c>
      <c r="F44" s="1">
        <v>4</v>
      </c>
      <c r="G44" s="1" t="s">
        <v>14</v>
      </c>
      <c r="H44" s="1">
        <v>305</v>
      </c>
      <c r="I44" s="1">
        <v>-94.3</v>
      </c>
      <c r="J44" s="1">
        <v>1050</v>
      </c>
      <c r="K44" s="1">
        <v>317.7</v>
      </c>
      <c r="L44" s="1">
        <v>338</v>
      </c>
      <c r="M44" s="1">
        <v>2100</v>
      </c>
      <c r="N44" s="1">
        <v>9050</v>
      </c>
      <c r="O44" s="1">
        <v>375</v>
      </c>
      <c r="P44" s="1">
        <v>0.75</v>
      </c>
      <c r="Q44" s="1">
        <v>0.9</v>
      </c>
      <c r="R44" s="1">
        <v>75</v>
      </c>
      <c r="S44" s="1">
        <v>-3</v>
      </c>
      <c r="T44" s="1">
        <v>0.85</v>
      </c>
      <c r="U44" s="1">
        <v>30.38</v>
      </c>
      <c r="V44" s="1">
        <v>16392</v>
      </c>
      <c r="W44" s="1">
        <v>-94050</v>
      </c>
      <c r="X44" s="1">
        <v>140400</v>
      </c>
      <c r="Y44" s="1"/>
      <c r="AA44" s="57">
        <f t="shared" si="2"/>
        <v>117</v>
      </c>
    </row>
    <row r="45" spans="1:27" x14ac:dyDescent="0.5">
      <c r="A45" t="str">
        <f t="shared" si="3"/>
        <v>CE9100</v>
      </c>
      <c r="B45" t="str">
        <f t="shared" si="4"/>
        <v>PE9100</v>
      </c>
      <c r="D45" s="1">
        <v>232500</v>
      </c>
      <c r="E45" s="1">
        <v>-65100</v>
      </c>
      <c r="F45" s="1">
        <v>1752</v>
      </c>
      <c r="G45" s="1">
        <v>37.78</v>
      </c>
      <c r="H45" s="1">
        <v>269.14999999999998</v>
      </c>
      <c r="I45" s="1">
        <v>-20.45</v>
      </c>
      <c r="J45" s="1">
        <v>75</v>
      </c>
      <c r="K45" s="1">
        <v>266.75</v>
      </c>
      <c r="L45" s="1">
        <v>275.45</v>
      </c>
      <c r="M45" s="1">
        <v>75</v>
      </c>
      <c r="N45" s="1">
        <v>9100</v>
      </c>
      <c r="O45" s="1">
        <v>4800</v>
      </c>
      <c r="P45" s="1">
        <v>1.2</v>
      </c>
      <c r="Q45" s="1">
        <v>1.35</v>
      </c>
      <c r="R45" s="1">
        <v>75</v>
      </c>
      <c r="S45" s="1">
        <v>-3.4</v>
      </c>
      <c r="T45" s="1">
        <v>1.3</v>
      </c>
      <c r="U45" s="1">
        <v>27.9</v>
      </c>
      <c r="V45" s="1">
        <v>194032</v>
      </c>
      <c r="W45" s="1">
        <v>-142575</v>
      </c>
      <c r="X45" s="1">
        <v>3609900</v>
      </c>
      <c r="Y45" s="1"/>
      <c r="AA45" s="57">
        <f t="shared" si="2"/>
        <v>15.526451612903227</v>
      </c>
    </row>
    <row r="46" spans="1:27" x14ac:dyDescent="0.5">
      <c r="A46" t="str">
        <f t="shared" si="3"/>
        <v>CE9150</v>
      </c>
      <c r="B46" t="str">
        <f t="shared" si="4"/>
        <v>PE9150</v>
      </c>
      <c r="D46" s="1">
        <v>13725</v>
      </c>
      <c r="E46" s="1">
        <v>-3975</v>
      </c>
      <c r="F46" s="1">
        <v>87</v>
      </c>
      <c r="G46" s="1" t="s">
        <v>14</v>
      </c>
      <c r="H46" s="1">
        <v>210.35</v>
      </c>
      <c r="I46" s="1">
        <v>-29.35</v>
      </c>
      <c r="J46" s="1">
        <v>75</v>
      </c>
      <c r="K46" s="1">
        <v>213.65</v>
      </c>
      <c r="L46" s="1">
        <v>241.5</v>
      </c>
      <c r="M46" s="1">
        <v>2100</v>
      </c>
      <c r="N46" s="1">
        <v>9150</v>
      </c>
      <c r="O46" s="1">
        <v>7500</v>
      </c>
      <c r="P46" s="1">
        <v>1.8</v>
      </c>
      <c r="Q46" s="1">
        <v>2</v>
      </c>
      <c r="R46" s="1">
        <v>2550</v>
      </c>
      <c r="S46" s="1">
        <v>-4.4000000000000004</v>
      </c>
      <c r="T46" s="1">
        <v>1.9</v>
      </c>
      <c r="U46" s="1">
        <v>24.97</v>
      </c>
      <c r="V46" s="1">
        <v>54038</v>
      </c>
      <c r="W46" s="1">
        <v>5625</v>
      </c>
      <c r="X46" s="1">
        <v>528450</v>
      </c>
      <c r="Y46" s="1"/>
      <c r="AA46" s="57">
        <f t="shared" si="2"/>
        <v>38.502732240437162</v>
      </c>
    </row>
    <row r="47" spans="1:27" x14ac:dyDescent="0.5">
      <c r="A47" t="str">
        <f t="shared" si="3"/>
        <v>CE9200</v>
      </c>
      <c r="B47" t="str">
        <f t="shared" si="4"/>
        <v>PE9200</v>
      </c>
      <c r="D47" s="1">
        <v>320850</v>
      </c>
      <c r="E47" s="1">
        <v>-152325</v>
      </c>
      <c r="F47" s="1">
        <v>8067</v>
      </c>
      <c r="G47" s="1">
        <v>31.64</v>
      </c>
      <c r="H47" s="1">
        <v>174.45</v>
      </c>
      <c r="I47" s="1">
        <v>-23.5</v>
      </c>
      <c r="J47" s="1">
        <v>150</v>
      </c>
      <c r="K47" s="1">
        <v>171.8</v>
      </c>
      <c r="L47" s="1">
        <v>177</v>
      </c>
      <c r="M47" s="1">
        <v>75</v>
      </c>
      <c r="N47" s="1">
        <v>9200</v>
      </c>
      <c r="O47" s="1">
        <v>4275</v>
      </c>
      <c r="P47" s="1">
        <v>2.85</v>
      </c>
      <c r="Q47" s="1">
        <v>2.9</v>
      </c>
      <c r="R47" s="1">
        <v>1275</v>
      </c>
      <c r="S47" s="1">
        <v>-6.6</v>
      </c>
      <c r="T47" s="1">
        <v>2.85</v>
      </c>
      <c r="U47" s="1">
        <v>21.83</v>
      </c>
      <c r="V47" s="1">
        <v>342099</v>
      </c>
      <c r="W47" s="1">
        <v>-451575</v>
      </c>
      <c r="X47" s="1">
        <v>3408300</v>
      </c>
      <c r="Y47" s="1"/>
      <c r="AA47" s="57">
        <f t="shared" si="2"/>
        <v>10.622720897615709</v>
      </c>
    </row>
    <row r="48" spans="1:27" x14ac:dyDescent="0.5">
      <c r="A48" t="str">
        <f t="shared" si="3"/>
        <v>CE9250</v>
      </c>
      <c r="B48" t="str">
        <f t="shared" si="4"/>
        <v>PE9250</v>
      </c>
      <c r="D48" s="1">
        <v>25800</v>
      </c>
      <c r="E48" s="1">
        <v>1350</v>
      </c>
      <c r="F48" s="1">
        <v>680</v>
      </c>
      <c r="G48" s="1">
        <v>24.82</v>
      </c>
      <c r="H48" s="1">
        <v>124.45</v>
      </c>
      <c r="I48" s="1">
        <v>-23.9</v>
      </c>
      <c r="J48" s="1">
        <v>525</v>
      </c>
      <c r="K48" s="1">
        <v>121.95</v>
      </c>
      <c r="L48" s="1">
        <v>129</v>
      </c>
      <c r="M48" s="1">
        <v>75</v>
      </c>
      <c r="N48" s="1">
        <v>9250</v>
      </c>
      <c r="O48" s="1">
        <v>375</v>
      </c>
      <c r="P48" s="1">
        <v>5</v>
      </c>
      <c r="Q48" s="1">
        <v>5.0999999999999996</v>
      </c>
      <c r="R48" s="1">
        <v>150</v>
      </c>
      <c r="S48" s="1">
        <v>-10.050000000000001</v>
      </c>
      <c r="T48" s="1">
        <v>5.0999999999999996</v>
      </c>
      <c r="U48" s="1">
        <v>19.149999999999999</v>
      </c>
      <c r="V48" s="1">
        <v>138431</v>
      </c>
      <c r="W48" s="1">
        <v>-17025</v>
      </c>
      <c r="X48" s="1">
        <v>974325</v>
      </c>
      <c r="Y48" s="1"/>
      <c r="AA48" s="57">
        <f t="shared" si="2"/>
        <v>37.764534883720927</v>
      </c>
    </row>
    <row r="49" spans="1:27" x14ac:dyDescent="0.5">
      <c r="A49" t="str">
        <f t="shared" si="3"/>
        <v>CE9300</v>
      </c>
      <c r="B49" t="str">
        <f t="shared" si="4"/>
        <v>PE9300</v>
      </c>
      <c r="D49" s="1">
        <v>1215375</v>
      </c>
      <c r="E49" s="1">
        <v>-91500</v>
      </c>
      <c r="F49" s="1">
        <v>144472</v>
      </c>
      <c r="G49" s="1">
        <v>20.87</v>
      </c>
      <c r="H49" s="1">
        <v>79.75</v>
      </c>
      <c r="I49" s="1">
        <v>-26.75</v>
      </c>
      <c r="J49" s="1">
        <v>2475</v>
      </c>
      <c r="K49" s="1">
        <v>79.75</v>
      </c>
      <c r="L49" s="1">
        <v>84.9</v>
      </c>
      <c r="M49" s="1">
        <v>1800</v>
      </c>
      <c r="N49" s="1">
        <v>9300</v>
      </c>
      <c r="O49" s="1">
        <v>300</v>
      </c>
      <c r="P49" s="1">
        <v>9</v>
      </c>
      <c r="Q49" s="1">
        <v>9.8000000000000007</v>
      </c>
      <c r="R49" s="1">
        <v>4275</v>
      </c>
      <c r="S49" s="1">
        <v>-12.35</v>
      </c>
      <c r="T49" s="1">
        <v>9.8000000000000007</v>
      </c>
      <c r="U49" s="1">
        <v>16.38</v>
      </c>
      <c r="V49" s="1">
        <v>668026</v>
      </c>
      <c r="W49" s="1">
        <v>-533175</v>
      </c>
      <c r="X49" s="1">
        <v>4893375</v>
      </c>
      <c r="Y49" s="1"/>
      <c r="AA49" s="57">
        <f t="shared" si="2"/>
        <v>4.0262264733107065</v>
      </c>
    </row>
    <row r="50" spans="1:27" x14ac:dyDescent="0.5">
      <c r="A50" t="str">
        <f t="shared" si="3"/>
        <v>CE9350</v>
      </c>
      <c r="B50" t="str">
        <f t="shared" si="4"/>
        <v>PE9350</v>
      </c>
      <c r="D50" s="1">
        <v>1706700</v>
      </c>
      <c r="E50" s="1">
        <v>1196700</v>
      </c>
      <c r="F50" s="1">
        <v>137147</v>
      </c>
      <c r="G50" s="1">
        <v>16.88</v>
      </c>
      <c r="H50" s="1">
        <v>39.950000000000003</v>
      </c>
      <c r="I50" s="1">
        <v>-26</v>
      </c>
      <c r="J50" s="1">
        <v>10575</v>
      </c>
      <c r="K50" s="1">
        <v>39.950000000000003</v>
      </c>
      <c r="L50" s="1">
        <v>43.8</v>
      </c>
      <c r="M50" s="1">
        <v>3150</v>
      </c>
      <c r="N50" s="1">
        <v>9350</v>
      </c>
      <c r="O50" s="1">
        <v>150</v>
      </c>
      <c r="P50" s="1">
        <v>18.100000000000001</v>
      </c>
      <c r="Q50" s="1">
        <v>20</v>
      </c>
      <c r="R50" s="1">
        <v>2250</v>
      </c>
      <c r="S50" s="1">
        <v>-12.7</v>
      </c>
      <c r="T50" s="1">
        <v>20</v>
      </c>
      <c r="U50" s="1">
        <v>13.33</v>
      </c>
      <c r="V50" s="1">
        <v>321484</v>
      </c>
      <c r="W50" s="1">
        <v>294375</v>
      </c>
      <c r="X50" s="1">
        <v>1737975</v>
      </c>
      <c r="Y50" s="1"/>
      <c r="AA50" s="57">
        <f t="shared" si="2"/>
        <v>1.0183248374055194</v>
      </c>
    </row>
    <row r="51" spans="1:27" x14ac:dyDescent="0.5">
      <c r="A51" t="str">
        <f t="shared" si="3"/>
        <v>CE9400</v>
      </c>
      <c r="B51" t="str">
        <f t="shared" si="4"/>
        <v>PE9400</v>
      </c>
      <c r="D51" s="1">
        <v>4749150</v>
      </c>
      <c r="E51" s="1">
        <v>-227850</v>
      </c>
      <c r="F51" s="1">
        <v>816526</v>
      </c>
      <c r="G51" s="1">
        <v>15.43</v>
      </c>
      <c r="H51" s="1">
        <v>15.3</v>
      </c>
      <c r="I51" s="1">
        <v>-21.5</v>
      </c>
      <c r="J51" s="1">
        <v>75</v>
      </c>
      <c r="K51" s="1">
        <v>15.3</v>
      </c>
      <c r="L51" s="1">
        <v>18.95</v>
      </c>
      <c r="M51" s="1">
        <v>750</v>
      </c>
      <c r="N51" s="1">
        <v>9400</v>
      </c>
      <c r="O51" s="1">
        <v>600</v>
      </c>
      <c r="P51" s="1">
        <v>40.950000000000003</v>
      </c>
      <c r="Q51" s="1">
        <v>41</v>
      </c>
      <c r="R51" s="1">
        <v>7125</v>
      </c>
      <c r="S51" s="1">
        <v>-9.1999999999999993</v>
      </c>
      <c r="T51" s="1">
        <v>40.65</v>
      </c>
      <c r="U51" s="1">
        <v>8.08</v>
      </c>
      <c r="V51" s="1">
        <v>706199</v>
      </c>
      <c r="W51" s="1">
        <v>-1110225</v>
      </c>
      <c r="X51" s="1">
        <v>3535800</v>
      </c>
      <c r="Y51" s="1"/>
      <c r="AA51" s="57">
        <f t="shared" si="2"/>
        <v>0.74451217586304919</v>
      </c>
    </row>
    <row r="52" spans="1:27" x14ac:dyDescent="0.5">
      <c r="A52" t="str">
        <f t="shared" si="3"/>
        <v>CE9450</v>
      </c>
      <c r="B52" t="str">
        <f t="shared" si="4"/>
        <v>PE9450</v>
      </c>
      <c r="D52" s="1">
        <v>2191950</v>
      </c>
      <c r="E52" s="1">
        <v>184800</v>
      </c>
      <c r="F52" s="1">
        <v>390202</v>
      </c>
      <c r="G52" s="1">
        <v>15.65</v>
      </c>
      <c r="H52" s="1">
        <v>5</v>
      </c>
      <c r="I52" s="1">
        <v>-12.4</v>
      </c>
      <c r="J52" s="1">
        <v>2775</v>
      </c>
      <c r="K52" s="1">
        <v>3.95</v>
      </c>
      <c r="L52" s="1">
        <v>5</v>
      </c>
      <c r="M52" s="1">
        <v>6375</v>
      </c>
      <c r="N52" s="1">
        <v>9450</v>
      </c>
      <c r="O52" s="1">
        <v>525</v>
      </c>
      <c r="P52" s="1">
        <v>75</v>
      </c>
      <c r="Q52" s="1">
        <v>76.95</v>
      </c>
      <c r="R52" s="1">
        <v>225</v>
      </c>
      <c r="S52" s="1">
        <v>-2</v>
      </c>
      <c r="T52" s="1">
        <v>75</v>
      </c>
      <c r="U52" s="1" t="s">
        <v>14</v>
      </c>
      <c r="V52" s="1">
        <v>74714</v>
      </c>
      <c r="W52" s="1">
        <v>-343200</v>
      </c>
      <c r="X52" s="1">
        <v>295275</v>
      </c>
      <c r="Y52" s="1"/>
      <c r="AA52" s="57">
        <f t="shared" si="2"/>
        <v>0.13470882091288577</v>
      </c>
    </row>
    <row r="53" spans="1:27" x14ac:dyDescent="0.5">
      <c r="A53" t="str">
        <f t="shared" ref="A53:A88" si="5">"CE"&amp;N53</f>
        <v>CE9500</v>
      </c>
      <c r="B53" t="str">
        <f t="shared" ref="B53:B88" si="6">"PE"&amp;N53</f>
        <v>PE9500</v>
      </c>
      <c r="D53" s="1">
        <v>6679425</v>
      </c>
      <c r="E53" s="1">
        <v>78075</v>
      </c>
      <c r="F53" s="1">
        <v>633479</v>
      </c>
      <c r="G53" s="1">
        <v>15.31</v>
      </c>
      <c r="H53" s="1">
        <v>1.05</v>
      </c>
      <c r="I53" s="1">
        <v>-6.15</v>
      </c>
      <c r="J53" s="1">
        <v>7575</v>
      </c>
      <c r="K53" s="1">
        <v>1.05</v>
      </c>
      <c r="L53" s="1">
        <v>1.2</v>
      </c>
      <c r="M53" s="1">
        <v>14925</v>
      </c>
      <c r="N53" s="1">
        <v>9500</v>
      </c>
      <c r="O53" s="1">
        <v>150</v>
      </c>
      <c r="P53" s="1">
        <v>116.7</v>
      </c>
      <c r="Q53" s="1">
        <v>120.9</v>
      </c>
      <c r="R53" s="1">
        <v>150</v>
      </c>
      <c r="S53" s="1">
        <v>7.3</v>
      </c>
      <c r="T53" s="1">
        <v>119.45</v>
      </c>
      <c r="U53" s="1" t="s">
        <v>14</v>
      </c>
      <c r="V53" s="1">
        <v>121726</v>
      </c>
      <c r="W53" s="1">
        <v>-477000</v>
      </c>
      <c r="X53" s="1">
        <v>999600</v>
      </c>
      <c r="Y53" s="1"/>
      <c r="AA53" s="57">
        <f t="shared" si="2"/>
        <v>0.14965360042219203</v>
      </c>
    </row>
    <row r="54" spans="1:27" x14ac:dyDescent="0.5">
      <c r="A54" t="str">
        <f t="shared" si="5"/>
        <v>CE9550</v>
      </c>
      <c r="B54" t="str">
        <f t="shared" si="6"/>
        <v>PE9550</v>
      </c>
      <c r="D54" s="1">
        <v>1804950</v>
      </c>
      <c r="E54" s="1">
        <v>-85650</v>
      </c>
      <c r="F54" s="1">
        <v>136695</v>
      </c>
      <c r="G54" s="1">
        <v>17.86</v>
      </c>
      <c r="H54" s="1">
        <v>0.55000000000000004</v>
      </c>
      <c r="I54" s="1">
        <v>-2.35</v>
      </c>
      <c r="J54" s="1">
        <v>4350</v>
      </c>
      <c r="K54" s="1">
        <v>0.55000000000000004</v>
      </c>
      <c r="L54" s="1">
        <v>0.65</v>
      </c>
      <c r="M54" s="1">
        <v>8025</v>
      </c>
      <c r="N54" s="1">
        <v>9550</v>
      </c>
      <c r="O54" s="1">
        <v>75</v>
      </c>
      <c r="P54" s="1">
        <v>163.65</v>
      </c>
      <c r="Q54" s="1">
        <v>200.45</v>
      </c>
      <c r="R54" s="1">
        <v>375</v>
      </c>
      <c r="S54" s="1">
        <v>2.0499999999999998</v>
      </c>
      <c r="T54" s="1">
        <v>163.6</v>
      </c>
      <c r="U54" s="1" t="s">
        <v>14</v>
      </c>
      <c r="V54" s="1">
        <v>775</v>
      </c>
      <c r="W54" s="1">
        <v>-5025</v>
      </c>
      <c r="X54" s="1">
        <v>38925</v>
      </c>
      <c r="Y54" s="1"/>
      <c r="AA54" s="57">
        <f t="shared" si="2"/>
        <v>2.1565694340563449E-2</v>
      </c>
    </row>
    <row r="55" spans="1:27" x14ac:dyDescent="0.5">
      <c r="A55" t="str">
        <f t="shared" si="5"/>
        <v>CE9600</v>
      </c>
      <c r="B55" t="str">
        <f t="shared" si="6"/>
        <v>PE9600</v>
      </c>
      <c r="D55" s="1">
        <v>4459575</v>
      </c>
      <c r="E55" s="1">
        <v>-1215225</v>
      </c>
      <c r="F55" s="1">
        <v>188857</v>
      </c>
      <c r="G55" s="1">
        <v>20.91</v>
      </c>
      <c r="H55" s="1">
        <v>0.4</v>
      </c>
      <c r="I55" s="1">
        <v>-1.05</v>
      </c>
      <c r="J55" s="1">
        <v>3600</v>
      </c>
      <c r="K55" s="1">
        <v>0.4</v>
      </c>
      <c r="L55" s="1">
        <v>0.45</v>
      </c>
      <c r="M55" s="1">
        <v>23700</v>
      </c>
      <c r="N55" s="1">
        <v>9600</v>
      </c>
      <c r="O55" s="1">
        <v>75</v>
      </c>
      <c r="P55" s="1">
        <v>216.8</v>
      </c>
      <c r="Q55" s="1">
        <v>221.9</v>
      </c>
      <c r="R55" s="1">
        <v>75</v>
      </c>
      <c r="S55" s="1">
        <v>9.3000000000000007</v>
      </c>
      <c r="T55" s="1">
        <v>217.7</v>
      </c>
      <c r="U55" s="1" t="s">
        <v>14</v>
      </c>
      <c r="V55" s="1">
        <v>8603</v>
      </c>
      <c r="W55" s="1">
        <v>-109500</v>
      </c>
      <c r="X55" s="1">
        <v>192750</v>
      </c>
      <c r="Y55" s="1"/>
      <c r="AA55" s="57">
        <f t="shared" si="2"/>
        <v>4.3221607440170867E-2</v>
      </c>
    </row>
    <row r="56" spans="1:27" x14ac:dyDescent="0.5">
      <c r="A56" t="str">
        <f t="shared" si="5"/>
        <v>CE9650</v>
      </c>
      <c r="B56" t="str">
        <f t="shared" si="6"/>
        <v>PE9650</v>
      </c>
      <c r="D56" s="1">
        <v>873375</v>
      </c>
      <c r="E56" s="1">
        <v>-348975</v>
      </c>
      <c r="F56" s="1">
        <v>13535</v>
      </c>
      <c r="G56" s="1">
        <v>22.7</v>
      </c>
      <c r="H56" s="1">
        <v>0.2</v>
      </c>
      <c r="I56" s="1">
        <v>-0.6</v>
      </c>
      <c r="J56" s="1">
        <v>2025</v>
      </c>
      <c r="K56" s="1">
        <v>0.2</v>
      </c>
      <c r="L56" s="1">
        <v>0.25</v>
      </c>
      <c r="M56" s="1">
        <v>75</v>
      </c>
      <c r="N56" s="1">
        <v>9650</v>
      </c>
      <c r="O56" s="1">
        <v>375</v>
      </c>
      <c r="P56" s="1">
        <v>257.75</v>
      </c>
      <c r="Q56" s="1">
        <v>287.39999999999998</v>
      </c>
      <c r="R56" s="1">
        <v>75</v>
      </c>
      <c r="S56" s="1">
        <v>37.15</v>
      </c>
      <c r="T56" s="1">
        <v>284.35000000000002</v>
      </c>
      <c r="U56" s="1" t="s">
        <v>14</v>
      </c>
      <c r="V56" s="1">
        <v>20</v>
      </c>
      <c r="W56" s="1">
        <v>-375</v>
      </c>
      <c r="X56" s="1">
        <v>6000</v>
      </c>
      <c r="Y56" s="1"/>
      <c r="AA56" s="57">
        <f t="shared" si="2"/>
        <v>6.8699012451696011E-3</v>
      </c>
    </row>
    <row r="57" spans="1:27" x14ac:dyDescent="0.5">
      <c r="A57" t="str">
        <f t="shared" si="5"/>
        <v>CE9700</v>
      </c>
      <c r="B57" t="str">
        <f t="shared" si="6"/>
        <v>PE9700</v>
      </c>
      <c r="D57" s="1">
        <v>1730325</v>
      </c>
      <c r="E57" s="1">
        <v>-192000</v>
      </c>
      <c r="F57" s="1">
        <v>34075</v>
      </c>
      <c r="G57" s="1">
        <v>26.12</v>
      </c>
      <c r="H57" s="1">
        <v>0.2</v>
      </c>
      <c r="I57" s="1">
        <v>-0.45</v>
      </c>
      <c r="J57" s="1">
        <v>11550</v>
      </c>
      <c r="K57" s="1">
        <v>0.2</v>
      </c>
      <c r="L57" s="1">
        <v>0.3</v>
      </c>
      <c r="M57" s="1">
        <v>14775</v>
      </c>
      <c r="N57" s="1">
        <v>9700</v>
      </c>
      <c r="O57" s="1">
        <v>225</v>
      </c>
      <c r="P57" s="1">
        <v>311.2</v>
      </c>
      <c r="Q57" s="1">
        <v>321.7</v>
      </c>
      <c r="R57" s="1">
        <v>75</v>
      </c>
      <c r="S57" s="1">
        <v>17.25</v>
      </c>
      <c r="T57" s="1">
        <v>324.35000000000002</v>
      </c>
      <c r="U57" s="1" t="s">
        <v>14</v>
      </c>
      <c r="V57" s="1">
        <v>720</v>
      </c>
      <c r="W57" s="1">
        <v>-8325</v>
      </c>
      <c r="X57" s="1">
        <v>60450</v>
      </c>
      <c r="Y57" s="1"/>
      <c r="AA57" s="57">
        <f t="shared" si="2"/>
        <v>3.4935633479259674E-2</v>
      </c>
    </row>
    <row r="58" spans="1:27" x14ac:dyDescent="0.5">
      <c r="A58" t="str">
        <f t="shared" si="5"/>
        <v>CE9750</v>
      </c>
      <c r="B58" t="str">
        <f t="shared" si="6"/>
        <v>PE9750</v>
      </c>
      <c r="D58" s="1">
        <v>246600</v>
      </c>
      <c r="E58" s="1">
        <v>-17700</v>
      </c>
      <c r="F58" s="1">
        <v>2166</v>
      </c>
      <c r="G58" s="1">
        <v>30.83</v>
      </c>
      <c r="H58" s="1">
        <v>0.3</v>
      </c>
      <c r="I58" s="1">
        <v>-0.2</v>
      </c>
      <c r="J58" s="1">
        <v>15000</v>
      </c>
      <c r="K58" s="1">
        <v>0.2</v>
      </c>
      <c r="L58" s="1">
        <v>0.3</v>
      </c>
      <c r="M58" s="1">
        <v>6000</v>
      </c>
      <c r="N58" s="1">
        <v>9750</v>
      </c>
      <c r="O58" s="1">
        <v>375</v>
      </c>
      <c r="P58" s="1">
        <v>349.2</v>
      </c>
      <c r="Q58" s="1">
        <v>378.45</v>
      </c>
      <c r="R58" s="1">
        <v>75</v>
      </c>
      <c r="S58" s="1" t="s">
        <v>14</v>
      </c>
      <c r="T58" s="1" t="s">
        <v>14</v>
      </c>
      <c r="U58" s="1" t="s">
        <v>14</v>
      </c>
      <c r="V58" s="1" t="s">
        <v>14</v>
      </c>
      <c r="W58" s="1" t="s">
        <v>14</v>
      </c>
      <c r="X58" s="1" t="s">
        <v>14</v>
      </c>
      <c r="Y58" s="1"/>
      <c r="AA58" s="57" t="e">
        <f t="shared" si="2"/>
        <v>#VALUE!</v>
      </c>
    </row>
    <row r="59" spans="1:27" x14ac:dyDescent="0.5">
      <c r="A59" t="str">
        <f t="shared" si="5"/>
        <v>CE9800</v>
      </c>
      <c r="B59" t="str">
        <f t="shared" si="6"/>
        <v>PE9800</v>
      </c>
      <c r="D59" s="1">
        <v>721350</v>
      </c>
      <c r="E59" s="1">
        <v>-29400</v>
      </c>
      <c r="F59" s="1">
        <v>3728</v>
      </c>
      <c r="G59" s="1">
        <v>31.84</v>
      </c>
      <c r="H59" s="1">
        <v>0.15</v>
      </c>
      <c r="I59" s="1">
        <v>-0.25</v>
      </c>
      <c r="J59" s="1">
        <v>6900</v>
      </c>
      <c r="K59" s="1">
        <v>0.15</v>
      </c>
      <c r="L59" s="1">
        <v>0.25</v>
      </c>
      <c r="M59" s="1">
        <v>4275</v>
      </c>
      <c r="N59" s="1">
        <v>9800</v>
      </c>
      <c r="O59" s="1">
        <v>75</v>
      </c>
      <c r="P59" s="1">
        <v>414.8</v>
      </c>
      <c r="Q59" s="1">
        <v>419.4</v>
      </c>
      <c r="R59" s="1">
        <v>75</v>
      </c>
      <c r="S59" s="1">
        <v>48.4</v>
      </c>
      <c r="T59" s="1">
        <v>426.4</v>
      </c>
      <c r="U59" s="1" t="s">
        <v>14</v>
      </c>
      <c r="V59" s="1">
        <v>95</v>
      </c>
      <c r="W59" s="1">
        <v>-1500</v>
      </c>
      <c r="X59" s="1">
        <v>27150</v>
      </c>
      <c r="Y59" s="1"/>
      <c r="AA59" s="57">
        <f t="shared" si="2"/>
        <v>3.7637762528592224E-2</v>
      </c>
    </row>
    <row r="60" spans="1:27" x14ac:dyDescent="0.5">
      <c r="A60" t="str">
        <f t="shared" si="5"/>
        <v>CE9850</v>
      </c>
      <c r="B60" t="str">
        <f t="shared" si="6"/>
        <v>PE9850</v>
      </c>
      <c r="D60" s="1">
        <v>11775</v>
      </c>
      <c r="E60" s="1">
        <v>-225</v>
      </c>
      <c r="F60" s="1">
        <v>9</v>
      </c>
      <c r="G60" s="1">
        <v>39.880000000000003</v>
      </c>
      <c r="H60" s="1">
        <v>0.5</v>
      </c>
      <c r="I60" s="1">
        <v>0.35</v>
      </c>
      <c r="J60" s="1" t="s">
        <v>14</v>
      </c>
      <c r="K60" s="1" t="s">
        <v>14</v>
      </c>
      <c r="L60" s="1">
        <v>0.45</v>
      </c>
      <c r="M60" s="1">
        <v>4500</v>
      </c>
      <c r="N60" s="1">
        <v>9850</v>
      </c>
      <c r="O60" s="1">
        <v>75</v>
      </c>
      <c r="P60" s="1">
        <v>459.6</v>
      </c>
      <c r="Q60" s="1">
        <v>493</v>
      </c>
      <c r="R60" s="1">
        <v>375</v>
      </c>
      <c r="S60" s="1">
        <v>8.9499999999999993</v>
      </c>
      <c r="T60" s="1">
        <v>457.95</v>
      </c>
      <c r="U60" s="1" t="s">
        <v>14</v>
      </c>
      <c r="V60" s="1">
        <v>5</v>
      </c>
      <c r="W60" s="1">
        <v>375</v>
      </c>
      <c r="X60" s="1">
        <v>450</v>
      </c>
      <c r="Y60" s="1"/>
      <c r="AA60" s="57">
        <f t="shared" si="2"/>
        <v>3.8216560509554139E-2</v>
      </c>
    </row>
    <row r="61" spans="1:27" x14ac:dyDescent="0.5">
      <c r="A61" t="str">
        <f t="shared" si="5"/>
        <v>CE9900</v>
      </c>
      <c r="B61" t="str">
        <f t="shared" si="6"/>
        <v>PE9900</v>
      </c>
      <c r="D61" s="1">
        <v>420525</v>
      </c>
      <c r="E61" s="1">
        <v>900</v>
      </c>
      <c r="F61" s="1">
        <v>1234</v>
      </c>
      <c r="G61" s="1">
        <v>36.729999999999997</v>
      </c>
      <c r="H61" s="1">
        <v>0.1</v>
      </c>
      <c r="I61" s="1">
        <v>-0.25</v>
      </c>
      <c r="J61" s="1">
        <v>20850</v>
      </c>
      <c r="K61" s="1">
        <v>0.1</v>
      </c>
      <c r="L61" s="1">
        <v>0.15</v>
      </c>
      <c r="M61" s="1">
        <v>975</v>
      </c>
      <c r="N61" s="1">
        <v>9900</v>
      </c>
      <c r="O61" s="1">
        <v>150</v>
      </c>
      <c r="P61" s="1">
        <v>513.75</v>
      </c>
      <c r="Q61" s="1">
        <v>527.4</v>
      </c>
      <c r="R61" s="1">
        <v>75</v>
      </c>
      <c r="S61" s="1">
        <v>42.35</v>
      </c>
      <c r="T61" s="1">
        <v>533.65</v>
      </c>
      <c r="U61" s="1" t="s">
        <v>14</v>
      </c>
      <c r="V61" s="1">
        <v>454</v>
      </c>
      <c r="W61" s="1">
        <v>-20925</v>
      </c>
      <c r="X61" s="1">
        <v>20775</v>
      </c>
      <c r="Y61" s="1"/>
      <c r="AA61" s="57">
        <f t="shared" si="2"/>
        <v>4.9402532548599963E-2</v>
      </c>
    </row>
    <row r="62" spans="1:27" x14ac:dyDescent="0.5">
      <c r="A62" t="str">
        <f t="shared" si="5"/>
        <v>CE9950</v>
      </c>
      <c r="B62" t="str">
        <f t="shared" si="6"/>
        <v>PE9950</v>
      </c>
      <c r="D62" s="1">
        <v>15750</v>
      </c>
      <c r="E62" s="1">
        <v>-825</v>
      </c>
      <c r="F62" s="1">
        <v>13</v>
      </c>
      <c r="G62" s="1">
        <v>41.24</v>
      </c>
      <c r="H62" s="1">
        <v>0.15</v>
      </c>
      <c r="I62" s="1">
        <v>-0.05</v>
      </c>
      <c r="J62" s="1">
        <v>2550</v>
      </c>
      <c r="K62" s="1">
        <v>0.1</v>
      </c>
      <c r="L62" s="1">
        <v>0.4</v>
      </c>
      <c r="M62" s="1">
        <v>1425</v>
      </c>
      <c r="N62" s="1">
        <v>9950</v>
      </c>
      <c r="O62" s="1">
        <v>375</v>
      </c>
      <c r="P62" s="1">
        <v>521.04999999999995</v>
      </c>
      <c r="Q62" s="1">
        <v>597.29999999999995</v>
      </c>
      <c r="R62" s="1">
        <v>375</v>
      </c>
      <c r="S62" s="1" t="s">
        <v>14</v>
      </c>
      <c r="T62" s="1" t="s">
        <v>14</v>
      </c>
      <c r="U62" s="1" t="s">
        <v>14</v>
      </c>
      <c r="V62" s="1" t="s">
        <v>14</v>
      </c>
      <c r="W62" s="1" t="s">
        <v>14</v>
      </c>
      <c r="X62" s="1" t="s">
        <v>14</v>
      </c>
      <c r="Y62" s="1"/>
      <c r="AA62" s="57" t="e">
        <f t="shared" si="2"/>
        <v>#VALUE!</v>
      </c>
    </row>
    <row r="63" spans="1:27" x14ac:dyDescent="0.5">
      <c r="A63" t="str">
        <f t="shared" si="5"/>
        <v>CE10000</v>
      </c>
      <c r="B63" t="str">
        <f t="shared" si="6"/>
        <v>PE10000</v>
      </c>
      <c r="D63" s="1">
        <v>1140900</v>
      </c>
      <c r="E63" s="1">
        <v>-25050</v>
      </c>
      <c r="F63" s="1">
        <v>3094</v>
      </c>
      <c r="G63" s="1">
        <v>42.69</v>
      </c>
      <c r="H63" s="1">
        <v>0.1</v>
      </c>
      <c r="I63" s="1">
        <v>-0.3</v>
      </c>
      <c r="J63" s="1">
        <v>24900</v>
      </c>
      <c r="K63" s="1">
        <v>0.1</v>
      </c>
      <c r="L63" s="1">
        <v>0.15</v>
      </c>
      <c r="M63" s="1">
        <v>975</v>
      </c>
      <c r="N63" s="1">
        <v>10000</v>
      </c>
      <c r="O63" s="1">
        <v>150</v>
      </c>
      <c r="P63" s="1">
        <v>615</v>
      </c>
      <c r="Q63" s="1">
        <v>624.4</v>
      </c>
      <c r="R63" s="1">
        <v>75</v>
      </c>
      <c r="S63" s="1">
        <v>13.8</v>
      </c>
      <c r="T63" s="1">
        <v>620</v>
      </c>
      <c r="U63" s="1" t="s">
        <v>14</v>
      </c>
      <c r="V63" s="1">
        <v>1524</v>
      </c>
      <c r="W63" s="1">
        <v>-67875</v>
      </c>
      <c r="X63" s="1">
        <v>260325</v>
      </c>
      <c r="Y63" s="1"/>
      <c r="AA63" s="57">
        <f t="shared" si="2"/>
        <v>0.22817512490139363</v>
      </c>
    </row>
    <row r="64" spans="1:27" x14ac:dyDescent="0.5">
      <c r="A64" t="str">
        <f t="shared" si="5"/>
        <v>CE10050</v>
      </c>
      <c r="B64" t="str">
        <f t="shared" si="6"/>
        <v>PE10050</v>
      </c>
      <c r="D64" s="1" t="s">
        <v>14</v>
      </c>
      <c r="E64" s="1" t="s">
        <v>14</v>
      </c>
      <c r="F64" s="1" t="s">
        <v>14</v>
      </c>
      <c r="G64" s="1" t="s">
        <v>14</v>
      </c>
      <c r="H64" s="1" t="s">
        <v>14</v>
      </c>
      <c r="I64" s="1" t="s">
        <v>14</v>
      </c>
      <c r="J64" s="1" t="s">
        <v>14</v>
      </c>
      <c r="K64" s="1" t="s">
        <v>14</v>
      </c>
      <c r="L64" s="1" t="s">
        <v>14</v>
      </c>
      <c r="M64" s="1" t="s">
        <v>14</v>
      </c>
      <c r="N64" s="1">
        <v>10050</v>
      </c>
      <c r="O64" s="1">
        <v>75</v>
      </c>
      <c r="P64" s="1">
        <v>621</v>
      </c>
      <c r="Q64" s="1">
        <v>779</v>
      </c>
      <c r="R64" s="1">
        <v>75</v>
      </c>
      <c r="S64" s="1" t="s">
        <v>14</v>
      </c>
      <c r="T64" s="1" t="s">
        <v>14</v>
      </c>
      <c r="U64" s="1" t="s">
        <v>14</v>
      </c>
      <c r="V64" s="1" t="s">
        <v>14</v>
      </c>
      <c r="W64" s="1" t="s">
        <v>14</v>
      </c>
      <c r="X64" s="1" t="s">
        <v>14</v>
      </c>
      <c r="Y64" s="1"/>
      <c r="AA64" s="57" t="e">
        <f>#REF!/#REF!</f>
        <v>#REF!</v>
      </c>
    </row>
    <row r="65" spans="1:27" x14ac:dyDescent="0.5">
      <c r="A65" t="str">
        <f t="shared" si="5"/>
        <v>CE10100</v>
      </c>
      <c r="B65" t="str">
        <f t="shared" si="6"/>
        <v>PE10100</v>
      </c>
      <c r="D65" s="1">
        <v>30150</v>
      </c>
      <c r="E65" s="1">
        <v>225</v>
      </c>
      <c r="F65" s="1">
        <v>5366</v>
      </c>
      <c r="G65" s="1">
        <v>51.69</v>
      </c>
      <c r="H65" s="1">
        <v>0.2</v>
      </c>
      <c r="I65" s="1" t="s">
        <v>14</v>
      </c>
      <c r="J65" s="1">
        <v>75</v>
      </c>
      <c r="K65" s="1">
        <v>0.15</v>
      </c>
      <c r="L65" s="1">
        <v>0.3</v>
      </c>
      <c r="M65" s="1">
        <v>3075</v>
      </c>
      <c r="N65" s="1">
        <v>10100</v>
      </c>
      <c r="O65" s="1">
        <v>375</v>
      </c>
      <c r="P65" s="1">
        <v>699.3</v>
      </c>
      <c r="Q65" s="1">
        <v>742.95</v>
      </c>
      <c r="R65" s="1">
        <v>375</v>
      </c>
      <c r="S65" s="1" t="s">
        <v>14</v>
      </c>
      <c r="T65" s="1" t="s">
        <v>14</v>
      </c>
      <c r="U65" s="1" t="s">
        <v>14</v>
      </c>
      <c r="V65" s="1" t="s">
        <v>14</v>
      </c>
      <c r="W65" s="1" t="s">
        <v>14</v>
      </c>
      <c r="X65" s="1" t="s">
        <v>14</v>
      </c>
      <c r="Y65" s="1"/>
      <c r="AA65" s="57" t="e">
        <f>#REF!/#REF!</f>
        <v>#REF!</v>
      </c>
    </row>
    <row r="66" spans="1:27" x14ac:dyDescent="0.5">
      <c r="A66" t="str">
        <f t="shared" si="5"/>
        <v>CE10150</v>
      </c>
      <c r="B66" t="str">
        <f t="shared" si="6"/>
        <v>PE10150</v>
      </c>
      <c r="D66" s="1" t="s">
        <v>14</v>
      </c>
      <c r="E66" s="1" t="s">
        <v>14</v>
      </c>
      <c r="F66" s="1" t="s">
        <v>14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14</v>
      </c>
      <c r="L66" s="1">
        <v>2.9</v>
      </c>
      <c r="M66" s="1">
        <v>7500</v>
      </c>
      <c r="N66" s="1">
        <v>10150</v>
      </c>
      <c r="O66" s="1">
        <v>375</v>
      </c>
      <c r="P66" s="1">
        <v>731.35</v>
      </c>
      <c r="Q66" s="1">
        <v>828.75</v>
      </c>
      <c r="R66" s="1">
        <v>375</v>
      </c>
      <c r="S66" s="1" t="s">
        <v>14</v>
      </c>
      <c r="T66" s="1" t="s">
        <v>14</v>
      </c>
      <c r="U66" s="1" t="s">
        <v>14</v>
      </c>
      <c r="V66" s="1" t="s">
        <v>14</v>
      </c>
      <c r="W66" s="1" t="s">
        <v>14</v>
      </c>
      <c r="X66" s="1" t="s">
        <v>14</v>
      </c>
      <c r="Y66" s="1"/>
      <c r="AA66" s="57" t="e">
        <f>#REF!/#REF!</f>
        <v>#REF!</v>
      </c>
    </row>
    <row r="67" spans="1:27" x14ac:dyDescent="0.5">
      <c r="A67" t="str">
        <f t="shared" si="5"/>
        <v>CE10200</v>
      </c>
      <c r="B67" t="str">
        <f t="shared" si="6"/>
        <v>PE10200</v>
      </c>
      <c r="D67" s="1">
        <v>14025</v>
      </c>
      <c r="E67" s="1" t="s">
        <v>14</v>
      </c>
      <c r="F67" s="1" t="s">
        <v>14</v>
      </c>
      <c r="G67" s="1" t="s">
        <v>14</v>
      </c>
      <c r="H67" s="1">
        <v>0.2</v>
      </c>
      <c r="I67" s="1" t="s">
        <v>14</v>
      </c>
      <c r="J67" s="1">
        <v>300</v>
      </c>
      <c r="K67" s="1">
        <v>0.05</v>
      </c>
      <c r="L67" s="1">
        <v>0.5</v>
      </c>
      <c r="M67" s="1">
        <v>3000</v>
      </c>
      <c r="N67" s="1">
        <v>10200</v>
      </c>
      <c r="O67" s="1">
        <v>375</v>
      </c>
      <c r="P67" s="1">
        <v>799.4</v>
      </c>
      <c r="Q67" s="1">
        <v>843</v>
      </c>
      <c r="R67" s="1">
        <v>375</v>
      </c>
      <c r="S67" s="1" t="s">
        <v>14</v>
      </c>
      <c r="T67" s="1">
        <v>908.2</v>
      </c>
      <c r="U67" s="1" t="s">
        <v>14</v>
      </c>
      <c r="V67" s="1" t="s">
        <v>14</v>
      </c>
      <c r="W67" s="1" t="s">
        <v>14</v>
      </c>
      <c r="X67" s="1">
        <v>2400</v>
      </c>
      <c r="Y67" s="1"/>
      <c r="AA67" s="57" t="e">
        <f>#REF!/#REF!</f>
        <v>#REF!</v>
      </c>
    </row>
    <row r="68" spans="1:27" x14ac:dyDescent="0.5">
      <c r="A68" t="str">
        <f t="shared" si="5"/>
        <v>CE10250</v>
      </c>
      <c r="B68" t="str">
        <f t="shared" si="6"/>
        <v>PE10250</v>
      </c>
      <c r="D68" s="1" t="s">
        <v>14</v>
      </c>
      <c r="E68" s="1" t="s">
        <v>14</v>
      </c>
      <c r="F68" s="1" t="s">
        <v>14</v>
      </c>
      <c r="G68" s="1" t="s">
        <v>14</v>
      </c>
      <c r="H68" s="1" t="s">
        <v>14</v>
      </c>
      <c r="I68" s="1" t="s">
        <v>14</v>
      </c>
      <c r="J68" s="1" t="s">
        <v>14</v>
      </c>
      <c r="K68" s="1" t="s">
        <v>14</v>
      </c>
      <c r="L68" s="1">
        <v>2.9</v>
      </c>
      <c r="M68" s="1">
        <v>7500</v>
      </c>
      <c r="N68" s="1">
        <v>10250</v>
      </c>
      <c r="O68" s="1">
        <v>375</v>
      </c>
      <c r="P68" s="1">
        <v>831.05</v>
      </c>
      <c r="Q68" s="1">
        <v>908.75</v>
      </c>
      <c r="R68" s="1">
        <v>375</v>
      </c>
      <c r="S68" s="1" t="s">
        <v>14</v>
      </c>
      <c r="T68" s="1" t="s">
        <v>14</v>
      </c>
      <c r="U68" s="1" t="s">
        <v>14</v>
      </c>
      <c r="V68" s="1" t="s">
        <v>14</v>
      </c>
      <c r="W68" s="1" t="s">
        <v>14</v>
      </c>
      <c r="X68" s="1" t="s">
        <v>14</v>
      </c>
      <c r="Y68" s="1"/>
      <c r="AA68" s="57" t="e">
        <f>#REF!/#REF!</f>
        <v>#REF!</v>
      </c>
    </row>
    <row r="69" spans="1:27" x14ac:dyDescent="0.5">
      <c r="A69" t="str">
        <f t="shared" si="5"/>
        <v>CE10300</v>
      </c>
      <c r="B69" t="str">
        <f t="shared" si="6"/>
        <v>PE10300</v>
      </c>
      <c r="D69" s="1">
        <v>15075</v>
      </c>
      <c r="E69" s="1" t="s">
        <v>14</v>
      </c>
      <c r="F69" s="1" t="s">
        <v>14</v>
      </c>
      <c r="G69" s="1" t="s">
        <v>14</v>
      </c>
      <c r="H69" s="1">
        <v>0.05</v>
      </c>
      <c r="I69" s="1" t="s">
        <v>14</v>
      </c>
      <c r="J69" s="1">
        <v>300</v>
      </c>
      <c r="K69" s="1">
        <v>0.05</v>
      </c>
      <c r="L69" s="1">
        <v>0.5</v>
      </c>
      <c r="M69" s="1">
        <v>3000</v>
      </c>
      <c r="N69" s="1">
        <v>10300</v>
      </c>
      <c r="O69" s="1">
        <v>375</v>
      </c>
      <c r="P69" s="1">
        <v>899.2</v>
      </c>
      <c r="Q69" s="1">
        <v>943</v>
      </c>
      <c r="R69" s="1">
        <v>375</v>
      </c>
      <c r="S69" s="1" t="s">
        <v>14</v>
      </c>
      <c r="T69" s="1" t="s">
        <v>14</v>
      </c>
      <c r="U69" s="1" t="s">
        <v>14</v>
      </c>
      <c r="V69" s="1" t="s">
        <v>14</v>
      </c>
      <c r="W69" s="1" t="s">
        <v>14</v>
      </c>
      <c r="X69" s="1" t="s">
        <v>14</v>
      </c>
      <c r="Y69" s="1"/>
      <c r="AA69" s="57" t="e">
        <f>#REF!/#REF!</f>
        <v>#REF!</v>
      </c>
    </row>
    <row r="70" spans="1:27" x14ac:dyDescent="0.5">
      <c r="A70" t="str">
        <f t="shared" si="5"/>
        <v>CE10350</v>
      </c>
      <c r="B70" t="str">
        <f t="shared" si="6"/>
        <v>PE10350</v>
      </c>
      <c r="D70" s="1">
        <v>75</v>
      </c>
      <c r="E70" s="1" t="s">
        <v>14</v>
      </c>
      <c r="F70" s="1" t="s">
        <v>14</v>
      </c>
      <c r="G70" s="1" t="s">
        <v>14</v>
      </c>
      <c r="H70" s="1">
        <v>0.7</v>
      </c>
      <c r="I70" s="1" t="s">
        <v>14</v>
      </c>
      <c r="J70" s="1">
        <v>300</v>
      </c>
      <c r="K70" s="1">
        <v>0.05</v>
      </c>
      <c r="L70" s="1">
        <v>1</v>
      </c>
      <c r="M70" s="1">
        <v>1500</v>
      </c>
      <c r="N70" s="1">
        <v>10350</v>
      </c>
      <c r="O70" s="1">
        <v>375</v>
      </c>
      <c r="P70" s="1">
        <v>921.05</v>
      </c>
      <c r="Q70" s="1">
        <v>1008.7</v>
      </c>
      <c r="R70" s="1">
        <v>375</v>
      </c>
      <c r="S70" s="1" t="s">
        <v>14</v>
      </c>
      <c r="T70" s="1" t="s">
        <v>14</v>
      </c>
      <c r="U70" s="1" t="s">
        <v>14</v>
      </c>
      <c r="V70" s="1" t="s">
        <v>14</v>
      </c>
      <c r="W70" s="1" t="s">
        <v>14</v>
      </c>
      <c r="X70" s="1" t="s">
        <v>14</v>
      </c>
      <c r="Y70" s="1"/>
      <c r="AA70" s="57" t="e">
        <f>#REF!/#REF!</f>
        <v>#REF!</v>
      </c>
    </row>
    <row r="71" spans="1:27" x14ac:dyDescent="0.5">
      <c r="A71" t="str">
        <f t="shared" si="5"/>
        <v>CE10400</v>
      </c>
      <c r="B71" t="str">
        <f t="shared" si="6"/>
        <v>PE10400</v>
      </c>
      <c r="D71" s="1">
        <v>225</v>
      </c>
      <c r="E71" s="1" t="s">
        <v>14</v>
      </c>
      <c r="F71" s="1">
        <v>1</v>
      </c>
      <c r="G71" s="1">
        <v>82.01</v>
      </c>
      <c r="H71" s="1">
        <v>1</v>
      </c>
      <c r="I71" s="1" t="s">
        <v>14</v>
      </c>
      <c r="J71" s="1">
        <v>300</v>
      </c>
      <c r="K71" s="1">
        <v>0.05</v>
      </c>
      <c r="L71" s="1">
        <v>1</v>
      </c>
      <c r="M71" s="1">
        <v>1425</v>
      </c>
      <c r="N71" s="1">
        <v>10400</v>
      </c>
      <c r="O71" s="1">
        <v>375</v>
      </c>
      <c r="P71" s="1">
        <v>999.2</v>
      </c>
      <c r="Q71" s="1">
        <v>1043</v>
      </c>
      <c r="R71" s="1">
        <v>375</v>
      </c>
      <c r="S71" s="1">
        <v>96.3</v>
      </c>
      <c r="T71" s="1">
        <v>1050</v>
      </c>
      <c r="U71" s="1">
        <v>122.44</v>
      </c>
      <c r="V71" s="1">
        <v>1</v>
      </c>
      <c r="W71" s="1">
        <v>-75</v>
      </c>
      <c r="X71" s="1">
        <v>75</v>
      </c>
      <c r="Y71" s="1"/>
      <c r="AA71" s="57" t="e">
        <f>#REF!/#REF!</f>
        <v>#REF!</v>
      </c>
    </row>
    <row r="72" spans="1:27" x14ac:dyDescent="0.5">
      <c r="A72" t="str">
        <f t="shared" si="5"/>
        <v>CE10450</v>
      </c>
      <c r="B72" t="str">
        <f t="shared" si="6"/>
        <v>PE10450</v>
      </c>
      <c r="D72" s="1" t="s">
        <v>14</v>
      </c>
      <c r="E72" s="1" t="s">
        <v>14</v>
      </c>
      <c r="F72" s="1" t="s">
        <v>14</v>
      </c>
      <c r="G72" s="1" t="s">
        <v>14</v>
      </c>
      <c r="H72" s="1" t="s">
        <v>14</v>
      </c>
      <c r="I72" s="1" t="s">
        <v>14</v>
      </c>
      <c r="J72" s="1" t="s">
        <v>14</v>
      </c>
      <c r="K72" s="1" t="s">
        <v>14</v>
      </c>
      <c r="L72" s="1">
        <v>2.9</v>
      </c>
      <c r="M72" s="1">
        <v>7500</v>
      </c>
      <c r="N72" s="1">
        <v>10450</v>
      </c>
      <c r="O72" s="1">
        <v>75</v>
      </c>
      <c r="P72" s="1">
        <v>1021</v>
      </c>
      <c r="Q72" s="1">
        <v>1179</v>
      </c>
      <c r="R72" s="1">
        <v>75</v>
      </c>
      <c r="S72" s="1" t="s">
        <v>14</v>
      </c>
      <c r="T72" s="1" t="s">
        <v>14</v>
      </c>
      <c r="U72" s="1" t="s">
        <v>14</v>
      </c>
      <c r="V72" s="1" t="s">
        <v>14</v>
      </c>
      <c r="W72" s="1" t="s">
        <v>14</v>
      </c>
      <c r="X72" s="1" t="s">
        <v>14</v>
      </c>
      <c r="Y72" s="1"/>
      <c r="AA72" s="57" t="e">
        <f>#REF!/#REF!</f>
        <v>#REF!</v>
      </c>
    </row>
    <row r="73" spans="1:27" x14ac:dyDescent="0.5">
      <c r="A73" t="str">
        <f t="shared" si="5"/>
        <v>CE10500</v>
      </c>
      <c r="B73" t="str">
        <f t="shared" si="6"/>
        <v>PE10500</v>
      </c>
      <c r="D73" s="1">
        <v>200175</v>
      </c>
      <c r="E73" s="1">
        <v>-123900</v>
      </c>
      <c r="F73" s="1">
        <v>2565</v>
      </c>
      <c r="G73" s="1">
        <v>67.010000000000005</v>
      </c>
      <c r="H73" s="1">
        <v>0.05</v>
      </c>
      <c r="I73" s="1">
        <v>-0.1</v>
      </c>
      <c r="J73" s="1">
        <v>23475</v>
      </c>
      <c r="K73" s="1">
        <v>0.05</v>
      </c>
      <c r="L73" s="1">
        <v>0.1</v>
      </c>
      <c r="M73" s="1">
        <v>15075</v>
      </c>
      <c r="N73" s="1">
        <v>10500</v>
      </c>
      <c r="O73" s="1">
        <v>375</v>
      </c>
      <c r="P73" s="1">
        <v>1115</v>
      </c>
      <c r="Q73" s="1">
        <v>1119.8499999999999</v>
      </c>
      <c r="R73" s="1">
        <v>150</v>
      </c>
      <c r="S73" s="1">
        <v>15.2</v>
      </c>
      <c r="T73" s="1">
        <v>1117.9000000000001</v>
      </c>
      <c r="U73" s="1" t="s">
        <v>14</v>
      </c>
      <c r="V73" s="1">
        <v>1789</v>
      </c>
      <c r="W73" s="1">
        <v>-78675</v>
      </c>
      <c r="X73" s="1">
        <v>177225</v>
      </c>
      <c r="Y73" s="1"/>
      <c r="AA73" s="57" t="e">
        <f>#REF!/#REF!</f>
        <v>#REF!</v>
      </c>
    </row>
    <row r="74" spans="1:27" x14ac:dyDescent="0.5">
      <c r="A74" t="str">
        <f t="shared" si="5"/>
        <v>CE10550</v>
      </c>
      <c r="B74" t="str">
        <f t="shared" si="6"/>
        <v>PE10550</v>
      </c>
      <c r="D74" s="1" t="s">
        <v>14</v>
      </c>
      <c r="E74" s="1" t="s">
        <v>14</v>
      </c>
      <c r="F74" s="1" t="s">
        <v>14</v>
      </c>
      <c r="G74" s="1" t="s">
        <v>14</v>
      </c>
      <c r="H74" s="1" t="s">
        <v>14</v>
      </c>
      <c r="I74" s="1" t="s">
        <v>14</v>
      </c>
      <c r="J74" s="1" t="s">
        <v>14</v>
      </c>
      <c r="K74" s="1" t="s">
        <v>14</v>
      </c>
      <c r="L74" s="1">
        <v>2.95</v>
      </c>
      <c r="M74" s="1">
        <v>7500</v>
      </c>
      <c r="N74" s="1">
        <v>10550</v>
      </c>
      <c r="O74" s="1">
        <v>75</v>
      </c>
      <c r="P74" s="1">
        <v>1121</v>
      </c>
      <c r="Q74" s="1">
        <v>1279</v>
      </c>
      <c r="R74" s="1">
        <v>75</v>
      </c>
      <c r="S74" s="1" t="s">
        <v>14</v>
      </c>
      <c r="T74" s="1" t="s">
        <v>14</v>
      </c>
      <c r="U74" s="1" t="s">
        <v>14</v>
      </c>
      <c r="V74" s="1" t="s">
        <v>14</v>
      </c>
      <c r="W74" s="1" t="s">
        <v>14</v>
      </c>
      <c r="X74" s="1" t="s">
        <v>14</v>
      </c>
      <c r="Y74" s="1"/>
      <c r="AA74" s="57" t="e">
        <f>#REF!/#REF!</f>
        <v>#REF!</v>
      </c>
    </row>
    <row r="75" spans="1:27" x14ac:dyDescent="0.5">
      <c r="A75" t="str">
        <f t="shared" si="5"/>
        <v>CE10600</v>
      </c>
      <c r="B75" t="str">
        <f t="shared" si="6"/>
        <v>PE10600</v>
      </c>
      <c r="D75" s="1">
        <v>2700</v>
      </c>
      <c r="E75" s="1">
        <v>1350</v>
      </c>
      <c r="F75" s="1">
        <v>52</v>
      </c>
      <c r="G75" s="1">
        <v>91.92</v>
      </c>
      <c r="H75" s="1">
        <v>0.75</v>
      </c>
      <c r="I75" s="1">
        <v>0.7</v>
      </c>
      <c r="J75" s="1">
        <v>3525</v>
      </c>
      <c r="K75" s="1">
        <v>0.05</v>
      </c>
      <c r="L75" s="1">
        <v>0.75</v>
      </c>
      <c r="M75" s="1">
        <v>1050</v>
      </c>
      <c r="N75" s="1">
        <v>10600</v>
      </c>
      <c r="O75" s="1">
        <v>75</v>
      </c>
      <c r="P75" s="1">
        <v>1214.05</v>
      </c>
      <c r="Q75" s="1">
        <v>1227.3</v>
      </c>
      <c r="R75" s="1">
        <v>75</v>
      </c>
      <c r="S75" s="1">
        <v>31.25</v>
      </c>
      <c r="T75" s="1">
        <v>1235.2</v>
      </c>
      <c r="U75" s="1" t="s">
        <v>14</v>
      </c>
      <c r="V75" s="1">
        <v>430</v>
      </c>
      <c r="W75" s="1">
        <v>-25875</v>
      </c>
      <c r="X75" s="1">
        <v>11400</v>
      </c>
      <c r="Y75" s="1"/>
      <c r="AA75" s="57" t="e">
        <f>#REF!/#REF!</f>
        <v>#REF!</v>
      </c>
    </row>
    <row r="76" spans="1:27" x14ac:dyDescent="0.5">
      <c r="A76" t="str">
        <f t="shared" si="5"/>
        <v>CE10650</v>
      </c>
      <c r="B76" t="str">
        <f t="shared" si="6"/>
        <v>PE10650</v>
      </c>
      <c r="D76" s="1" t="s">
        <v>14</v>
      </c>
      <c r="E76" s="1" t="s">
        <v>14</v>
      </c>
      <c r="F76" s="1" t="s">
        <v>14</v>
      </c>
      <c r="G76" s="1" t="s">
        <v>14</v>
      </c>
      <c r="H76" s="1" t="s">
        <v>14</v>
      </c>
      <c r="I76" s="1" t="s">
        <v>14</v>
      </c>
      <c r="J76" s="1" t="s">
        <v>14</v>
      </c>
      <c r="K76" s="1" t="s">
        <v>14</v>
      </c>
      <c r="L76" s="1">
        <v>2</v>
      </c>
      <c r="M76" s="1">
        <v>1500</v>
      </c>
      <c r="N76" s="1">
        <v>10650</v>
      </c>
      <c r="O76" s="1">
        <v>75</v>
      </c>
      <c r="P76" s="1">
        <v>1221</v>
      </c>
      <c r="Q76" s="1">
        <v>1379</v>
      </c>
      <c r="R76" s="1">
        <v>75</v>
      </c>
      <c r="S76" s="1" t="s">
        <v>14</v>
      </c>
      <c r="T76" s="1" t="s">
        <v>14</v>
      </c>
      <c r="U76" s="1" t="s">
        <v>14</v>
      </c>
      <c r="V76" s="1" t="s">
        <v>14</v>
      </c>
      <c r="W76" s="1" t="s">
        <v>14</v>
      </c>
      <c r="X76" s="1" t="s">
        <v>14</v>
      </c>
      <c r="Y76" s="1"/>
      <c r="AA76" s="57" t="e">
        <f>#REF!/#REF!</f>
        <v>#REF!</v>
      </c>
    </row>
    <row r="77" spans="1:27" x14ac:dyDescent="0.5">
      <c r="A77" t="str">
        <f t="shared" si="5"/>
        <v>CE10700</v>
      </c>
      <c r="B77" t="str">
        <f t="shared" si="6"/>
        <v>PE10700</v>
      </c>
      <c r="D77" s="1">
        <v>600</v>
      </c>
      <c r="E77" s="1" t="s">
        <v>14</v>
      </c>
      <c r="F77" s="1" t="s">
        <v>14</v>
      </c>
      <c r="G77" s="1" t="s">
        <v>14</v>
      </c>
      <c r="H77" s="1">
        <v>1</v>
      </c>
      <c r="I77" s="1" t="s">
        <v>14</v>
      </c>
      <c r="J77" s="1">
        <v>300</v>
      </c>
      <c r="K77" s="1">
        <v>0.05</v>
      </c>
      <c r="L77" s="1">
        <v>0.9</v>
      </c>
      <c r="M77" s="1">
        <v>300</v>
      </c>
      <c r="N77" s="1">
        <v>10700</v>
      </c>
      <c r="O77" s="1">
        <v>225</v>
      </c>
      <c r="P77" s="1">
        <v>1318.9</v>
      </c>
      <c r="Q77" s="1">
        <v>1324.5</v>
      </c>
      <c r="R77" s="1">
        <v>150</v>
      </c>
      <c r="S77" s="1">
        <v>46.55</v>
      </c>
      <c r="T77" s="1">
        <v>1353.25</v>
      </c>
      <c r="U77" s="1">
        <v>154.61000000000001</v>
      </c>
      <c r="V77" s="1">
        <v>23</v>
      </c>
      <c r="W77" s="1">
        <v>-1350</v>
      </c>
      <c r="X77" s="1">
        <v>17400</v>
      </c>
      <c r="Y77" s="1"/>
      <c r="AA77" s="57" t="e">
        <f>#REF!/#REF!</f>
        <v>#REF!</v>
      </c>
    </row>
    <row r="78" spans="1:27" x14ac:dyDescent="0.5">
      <c r="A78" t="str">
        <f t="shared" si="5"/>
        <v>CE10750</v>
      </c>
      <c r="B78" t="str">
        <f t="shared" si="6"/>
        <v>PE10750</v>
      </c>
      <c r="D78" s="1" t="s">
        <v>14</v>
      </c>
      <c r="E78" s="1" t="s">
        <v>14</v>
      </c>
      <c r="F78" s="1" t="s">
        <v>14</v>
      </c>
      <c r="G78" s="1" t="s">
        <v>14</v>
      </c>
      <c r="H78" s="1" t="s">
        <v>14</v>
      </c>
      <c r="I78" s="1" t="s">
        <v>14</v>
      </c>
      <c r="J78" s="1" t="s">
        <v>14</v>
      </c>
      <c r="K78" s="1" t="s">
        <v>14</v>
      </c>
      <c r="L78" s="1">
        <v>2</v>
      </c>
      <c r="M78" s="1">
        <v>1500</v>
      </c>
      <c r="N78" s="1">
        <v>10750</v>
      </c>
      <c r="O78" s="1">
        <v>75</v>
      </c>
      <c r="P78" s="1">
        <v>1363.5</v>
      </c>
      <c r="Q78" s="1">
        <v>1377.7</v>
      </c>
      <c r="R78" s="1">
        <v>75</v>
      </c>
      <c r="S78" s="1" t="s">
        <v>14</v>
      </c>
      <c r="T78" s="1" t="s">
        <v>14</v>
      </c>
      <c r="U78" s="1" t="s">
        <v>14</v>
      </c>
      <c r="V78" s="1" t="s">
        <v>14</v>
      </c>
      <c r="W78" s="1" t="s">
        <v>14</v>
      </c>
      <c r="X78" s="1" t="s">
        <v>14</v>
      </c>
      <c r="Y78" s="1"/>
      <c r="AA78" s="57" t="e">
        <f>#REF!/#REF!</f>
        <v>#REF!</v>
      </c>
    </row>
    <row r="79" spans="1:27" x14ac:dyDescent="0.5">
      <c r="A79" t="str">
        <f t="shared" si="5"/>
        <v>CE10800</v>
      </c>
      <c r="B79" t="str">
        <f t="shared" si="6"/>
        <v>PE10800</v>
      </c>
      <c r="D79" s="1">
        <v>750</v>
      </c>
      <c r="E79" s="1" t="s">
        <v>14</v>
      </c>
      <c r="F79" s="1">
        <v>5</v>
      </c>
      <c r="G79" s="1">
        <v>82.05</v>
      </c>
      <c r="H79" s="1">
        <v>0.05</v>
      </c>
      <c r="I79" s="1" t="s">
        <v>14</v>
      </c>
      <c r="J79" s="1">
        <v>75</v>
      </c>
      <c r="K79" s="1">
        <v>0.1</v>
      </c>
      <c r="L79" s="1">
        <v>0.5</v>
      </c>
      <c r="M79" s="1">
        <v>300</v>
      </c>
      <c r="N79" s="1">
        <v>10800</v>
      </c>
      <c r="O79" s="1">
        <v>75</v>
      </c>
      <c r="P79" s="1">
        <v>1413.8</v>
      </c>
      <c r="Q79" s="1">
        <v>1423.2</v>
      </c>
      <c r="R79" s="1">
        <v>300</v>
      </c>
      <c r="S79" s="1">
        <v>23.3</v>
      </c>
      <c r="T79" s="1">
        <v>1428.05</v>
      </c>
      <c r="U79" s="1" t="s">
        <v>14</v>
      </c>
      <c r="V79" s="1">
        <v>57</v>
      </c>
      <c r="W79" s="1">
        <v>-4050</v>
      </c>
      <c r="X79" s="1">
        <v>8400</v>
      </c>
      <c r="Y79" s="1"/>
      <c r="AA79" s="57" t="e">
        <f>#REF!/#REF!</f>
        <v>#REF!</v>
      </c>
    </row>
    <row r="80" spans="1:27" x14ac:dyDescent="0.5">
      <c r="A80" t="str">
        <f t="shared" si="5"/>
        <v>CE10850</v>
      </c>
      <c r="B80" t="str">
        <f t="shared" si="6"/>
        <v>PE10850</v>
      </c>
      <c r="D80" s="1">
        <v>375</v>
      </c>
      <c r="E80" s="1" t="s">
        <v>14</v>
      </c>
      <c r="F80" s="1" t="s">
        <v>14</v>
      </c>
      <c r="G80" s="1" t="s">
        <v>14</v>
      </c>
      <c r="H80" s="1">
        <v>0.05</v>
      </c>
      <c r="I80" s="1" t="s">
        <v>14</v>
      </c>
      <c r="J80" s="1">
        <v>600</v>
      </c>
      <c r="K80" s="1">
        <v>0.05</v>
      </c>
      <c r="L80" s="1">
        <v>1</v>
      </c>
      <c r="M80" s="1">
        <v>1500</v>
      </c>
      <c r="N80" s="1">
        <v>10850</v>
      </c>
      <c r="O80" s="1">
        <v>75</v>
      </c>
      <c r="P80" s="1">
        <v>1421.05</v>
      </c>
      <c r="Q80" s="1">
        <v>1578.95</v>
      </c>
      <c r="R80" s="1">
        <v>75</v>
      </c>
      <c r="S80" s="1" t="s">
        <v>14</v>
      </c>
      <c r="T80" s="1" t="s">
        <v>14</v>
      </c>
      <c r="U80" s="1" t="s">
        <v>14</v>
      </c>
      <c r="V80" s="1" t="s">
        <v>14</v>
      </c>
      <c r="W80" s="1" t="s">
        <v>14</v>
      </c>
      <c r="X80" s="1" t="s">
        <v>14</v>
      </c>
      <c r="Y80" s="1"/>
      <c r="AA80" s="57" t="e">
        <f>#REF!/#REF!</f>
        <v>#REF!</v>
      </c>
    </row>
    <row r="81" spans="1:66" x14ac:dyDescent="0.5">
      <c r="A81" t="str">
        <f t="shared" si="5"/>
        <v>CE10900</v>
      </c>
      <c r="B81" t="str">
        <f t="shared" si="6"/>
        <v>PE10900</v>
      </c>
      <c r="D81" s="1" t="s">
        <v>14</v>
      </c>
      <c r="E81" s="1" t="s">
        <v>14</v>
      </c>
      <c r="F81" s="1" t="s">
        <v>14</v>
      </c>
      <c r="G81" s="1" t="s">
        <v>14</v>
      </c>
      <c r="H81" s="1" t="s">
        <v>14</v>
      </c>
      <c r="I81" s="1" t="s">
        <v>14</v>
      </c>
      <c r="J81" s="1">
        <v>300</v>
      </c>
      <c r="K81" s="1">
        <v>0.05</v>
      </c>
      <c r="L81" s="1">
        <v>1</v>
      </c>
      <c r="M81" s="1">
        <v>1500</v>
      </c>
      <c r="N81" s="1">
        <v>10900</v>
      </c>
      <c r="O81" s="1">
        <v>2100</v>
      </c>
      <c r="P81" s="1">
        <v>1499.15</v>
      </c>
      <c r="Q81" s="1">
        <v>1543.05</v>
      </c>
      <c r="R81" s="1">
        <v>2100</v>
      </c>
      <c r="S81" s="1" t="s">
        <v>14</v>
      </c>
      <c r="T81" s="1" t="s">
        <v>14</v>
      </c>
      <c r="U81" s="1" t="s">
        <v>14</v>
      </c>
      <c r="V81" s="1" t="s">
        <v>14</v>
      </c>
      <c r="W81" s="1" t="s">
        <v>14</v>
      </c>
      <c r="X81" s="1" t="s">
        <v>14</v>
      </c>
      <c r="Y81" s="1"/>
      <c r="AA81" s="57" t="e">
        <f>#REF!/#REF!</f>
        <v>#REF!</v>
      </c>
    </row>
    <row r="82" spans="1:66" x14ac:dyDescent="0.5">
      <c r="A82" t="str">
        <f t="shared" si="5"/>
        <v>CE10950</v>
      </c>
      <c r="B82" t="str">
        <f t="shared" si="6"/>
        <v>PE10950</v>
      </c>
      <c r="D82" s="1" t="s">
        <v>14</v>
      </c>
      <c r="E82" s="1" t="s">
        <v>14</v>
      </c>
      <c r="F82" s="1" t="s">
        <v>14</v>
      </c>
      <c r="G82" s="1" t="s">
        <v>14</v>
      </c>
      <c r="H82" s="1" t="s">
        <v>14</v>
      </c>
      <c r="I82" s="1" t="s">
        <v>14</v>
      </c>
      <c r="J82" s="1" t="s">
        <v>14</v>
      </c>
      <c r="K82" s="1" t="s">
        <v>14</v>
      </c>
      <c r="L82" s="1">
        <v>2.9</v>
      </c>
      <c r="M82" s="1">
        <v>7500</v>
      </c>
      <c r="N82" s="1">
        <v>10950</v>
      </c>
      <c r="O82" s="1">
        <v>75</v>
      </c>
      <c r="P82" s="1">
        <v>1521</v>
      </c>
      <c r="Q82" s="1">
        <v>1679</v>
      </c>
      <c r="R82" s="1">
        <v>75</v>
      </c>
      <c r="S82" s="1" t="s">
        <v>14</v>
      </c>
      <c r="T82" s="1" t="s">
        <v>14</v>
      </c>
      <c r="U82" s="1" t="s">
        <v>14</v>
      </c>
      <c r="V82" s="1" t="s">
        <v>14</v>
      </c>
      <c r="W82" s="1" t="s">
        <v>14</v>
      </c>
      <c r="X82" s="1" t="s">
        <v>14</v>
      </c>
      <c r="Y82" s="1"/>
      <c r="AA82" s="57" t="e">
        <f>#REF!/#REF!</f>
        <v>#REF!</v>
      </c>
    </row>
    <row r="83" spans="1:66" x14ac:dyDescent="0.5">
      <c r="A83" t="str">
        <f t="shared" si="5"/>
        <v>CE11000</v>
      </c>
      <c r="B83" t="str">
        <f t="shared" si="6"/>
        <v>PE11000</v>
      </c>
      <c r="D83" s="1" t="s">
        <v>14</v>
      </c>
      <c r="E83" s="1" t="s">
        <v>14</v>
      </c>
      <c r="F83" s="1" t="s">
        <v>14</v>
      </c>
      <c r="G83" s="1" t="s">
        <v>14</v>
      </c>
      <c r="H83" s="1" t="s">
        <v>14</v>
      </c>
      <c r="I83" s="1" t="s">
        <v>14</v>
      </c>
      <c r="J83" s="1">
        <v>300</v>
      </c>
      <c r="K83" s="1">
        <v>0.05</v>
      </c>
      <c r="L83" s="1">
        <v>0.7</v>
      </c>
      <c r="M83" s="1">
        <v>300</v>
      </c>
      <c r="N83" s="1">
        <v>11000</v>
      </c>
      <c r="O83" s="1">
        <v>2100</v>
      </c>
      <c r="P83" s="1">
        <v>1599.15</v>
      </c>
      <c r="Q83" s="1">
        <v>1643.05</v>
      </c>
      <c r="R83" s="1">
        <v>2100</v>
      </c>
      <c r="S83" s="1" t="s">
        <v>14</v>
      </c>
      <c r="T83" s="1" t="s">
        <v>14</v>
      </c>
      <c r="U83" s="1" t="s">
        <v>14</v>
      </c>
      <c r="V83" s="1" t="s">
        <v>14</v>
      </c>
      <c r="W83" s="1" t="s">
        <v>14</v>
      </c>
      <c r="X83" s="1" t="s">
        <v>14</v>
      </c>
      <c r="Y83" s="1"/>
      <c r="AA83" s="57" t="e">
        <f>#REF!/#REF!</f>
        <v>#REF!</v>
      </c>
    </row>
    <row r="84" spans="1:66" x14ac:dyDescent="0.5">
      <c r="A84" t="str">
        <f t="shared" si="5"/>
        <v>CE11050</v>
      </c>
      <c r="B84" t="str">
        <f t="shared" si="6"/>
        <v>PE11050</v>
      </c>
      <c r="D84" s="1" t="s">
        <v>14</v>
      </c>
      <c r="E84" s="1" t="s">
        <v>14</v>
      </c>
      <c r="F84" s="1" t="s">
        <v>14</v>
      </c>
      <c r="G84" s="1" t="s">
        <v>14</v>
      </c>
      <c r="H84" s="1" t="s">
        <v>14</v>
      </c>
      <c r="I84" s="1" t="s">
        <v>14</v>
      </c>
      <c r="J84" s="1">
        <v>375</v>
      </c>
      <c r="K84" s="1">
        <v>0.05</v>
      </c>
      <c r="L84" s="1">
        <v>0.6</v>
      </c>
      <c r="M84" s="1">
        <v>300</v>
      </c>
      <c r="N84" s="1">
        <v>11050</v>
      </c>
      <c r="O84" s="1">
        <v>75</v>
      </c>
      <c r="P84" s="1">
        <v>1561</v>
      </c>
      <c r="Q84" s="1">
        <v>1902.3</v>
      </c>
      <c r="R84" s="1">
        <v>150</v>
      </c>
      <c r="S84" s="1" t="s">
        <v>14</v>
      </c>
      <c r="T84" s="1" t="s">
        <v>14</v>
      </c>
      <c r="U84" s="1" t="s">
        <v>14</v>
      </c>
      <c r="V84" s="1" t="s">
        <v>14</v>
      </c>
      <c r="W84" s="1" t="s">
        <v>14</v>
      </c>
      <c r="X84" s="1" t="s">
        <v>14</v>
      </c>
      <c r="Y84" s="1"/>
      <c r="AA84" s="57" t="e">
        <f>#REF!/#REF!</f>
        <v>#REF!</v>
      </c>
    </row>
    <row r="85" spans="1:66" x14ac:dyDescent="0.5">
      <c r="A85" t="str">
        <f t="shared" si="5"/>
        <v>CE</v>
      </c>
      <c r="B85" t="str">
        <f t="shared" si="6"/>
        <v>PE</v>
      </c>
      <c r="C85" t="s">
        <v>31</v>
      </c>
      <c r="D85" s="1">
        <v>32169900</v>
      </c>
      <c r="E85" s="1"/>
      <c r="F85" s="1">
        <v>2555397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2896912</v>
      </c>
      <c r="W85" s="1"/>
      <c r="X85" s="1">
        <v>34231950</v>
      </c>
      <c r="Y85" s="1" t="s">
        <v>31</v>
      </c>
      <c r="AA85" s="57" t="e">
        <f>#REF!/#REF!</f>
        <v>#REF!</v>
      </c>
    </row>
    <row r="86" spans="1:66" x14ac:dyDescent="0.5">
      <c r="A86" t="str">
        <f t="shared" si="5"/>
        <v>CE</v>
      </c>
      <c r="B86" t="str">
        <f t="shared" si="6"/>
        <v>PE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AA86" s="57" t="e">
        <f>#REF!/#REF!</f>
        <v>#REF!</v>
      </c>
    </row>
    <row r="87" spans="1:66" x14ac:dyDescent="0.5">
      <c r="A87" t="str">
        <f t="shared" si="5"/>
        <v>CE</v>
      </c>
      <c r="B87" t="str">
        <f t="shared" si="6"/>
        <v>PE</v>
      </c>
      <c r="C87" t="s">
        <v>53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AA87" s="57" t="e">
        <f>#REF!/#REF!</f>
        <v>#REF!</v>
      </c>
    </row>
    <row r="88" spans="1:66" x14ac:dyDescent="0.5">
      <c r="A88" t="str">
        <f t="shared" si="5"/>
        <v>CE</v>
      </c>
      <c r="B88" t="str">
        <f t="shared" si="6"/>
        <v>PE</v>
      </c>
      <c r="C88" t="s">
        <v>54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57" t="e">
        <f t="shared" ref="AA88:AA100" si="7">X89/D89</f>
        <v>#DIV/0!</v>
      </c>
    </row>
    <row r="89" spans="1:66" x14ac:dyDescent="0.5">
      <c r="A89" t="e">
        <f>"CE"&amp;#REF!</f>
        <v>#REF!</v>
      </c>
      <c r="B89" t="e">
        <f>"PE"&amp;#REF!</f>
        <v>#REF!</v>
      </c>
      <c r="C89" t="s">
        <v>55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AA89" s="57" t="e">
        <f t="shared" si="7"/>
        <v>#DIV/0!</v>
      </c>
    </row>
    <row r="90" spans="1:66" x14ac:dyDescent="0.5">
      <c r="A90" t="e">
        <f>"CE"&amp;#REF!</f>
        <v>#REF!</v>
      </c>
      <c r="B90" t="e">
        <f>"PE"&amp;#REF!</f>
        <v>#REF!</v>
      </c>
      <c r="AA90" s="57" t="e">
        <f t="shared" si="7"/>
        <v>#DIV/0!</v>
      </c>
    </row>
    <row r="91" spans="1:66" x14ac:dyDescent="0.5">
      <c r="A91" t="e">
        <f>"CE"&amp;#REF!</f>
        <v>#REF!</v>
      </c>
      <c r="B91" t="e">
        <f>"PE"&amp;#REF!</f>
        <v>#REF!</v>
      </c>
      <c r="AA91" s="57" t="e">
        <f t="shared" si="7"/>
        <v>#DIV/0!</v>
      </c>
    </row>
    <row r="92" spans="1:66" x14ac:dyDescent="0.5">
      <c r="A92" t="e">
        <f>"CE"&amp;#REF!</f>
        <v>#REF!</v>
      </c>
      <c r="B92" t="e">
        <f>"PE"&amp;#REF!</f>
        <v>#REF!</v>
      </c>
      <c r="AA92" s="57" t="e">
        <f t="shared" si="7"/>
        <v>#DIV/0!</v>
      </c>
    </row>
    <row r="93" spans="1:66" x14ac:dyDescent="0.5">
      <c r="A93" t="e">
        <f>"CE"&amp;#REF!</f>
        <v>#REF!</v>
      </c>
      <c r="B93" t="e">
        <f>"PE"&amp;#REF!</f>
        <v>#REF!</v>
      </c>
      <c r="AA93" s="57" t="e">
        <f t="shared" si="7"/>
        <v>#DIV/0!</v>
      </c>
    </row>
    <row r="94" spans="1:66" x14ac:dyDescent="0.5">
      <c r="A94" t="e">
        <f>"CE"&amp;#REF!</f>
        <v>#REF!</v>
      </c>
      <c r="B94" t="e">
        <f>"PE"&amp;#REF!</f>
        <v>#REF!</v>
      </c>
      <c r="Z94" s="1"/>
      <c r="AA94" s="57" t="e">
        <f t="shared" si="7"/>
        <v>#DIV/0!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BJ94" s="1"/>
      <c r="BN94" s="1"/>
    </row>
    <row r="95" spans="1:66" x14ac:dyDescent="0.5">
      <c r="A95" t="e">
        <f>"CE"&amp;#REF!</f>
        <v>#REF!</v>
      </c>
      <c r="B95" t="e">
        <f>"PE"&amp;#REF!</f>
        <v>#REF!</v>
      </c>
      <c r="AA95" s="57" t="e">
        <f t="shared" si="7"/>
        <v>#DIV/0!</v>
      </c>
      <c r="BF95" s="1"/>
    </row>
    <row r="96" spans="1:66" x14ac:dyDescent="0.5">
      <c r="A96" t="e">
        <f>"CE"&amp;#REF!</f>
        <v>#REF!</v>
      </c>
      <c r="B96" t="e">
        <f>"PE"&amp;#REF!</f>
        <v>#REF!</v>
      </c>
      <c r="Z96" s="1"/>
      <c r="AA96" s="57" t="e">
        <f t="shared" si="7"/>
        <v>#DIV/0!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5">
      <c r="A97" t="e">
        <f>"CE"&amp;#REF!</f>
        <v>#REF!</v>
      </c>
      <c r="B97" t="e">
        <f>"PE"&amp;#REF!</f>
        <v>#REF!</v>
      </c>
      <c r="Z97" s="1"/>
      <c r="AA97" s="57" t="e">
        <f t="shared" si="7"/>
        <v>#DIV/0!</v>
      </c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5">
      <c r="A98" t="e">
        <f>"CE"&amp;#REF!</f>
        <v>#REF!</v>
      </c>
      <c r="B98" t="e">
        <f>"PE"&amp;#REF!</f>
        <v>#REF!</v>
      </c>
      <c r="AA98" s="57" t="e">
        <f t="shared" si="7"/>
        <v>#DIV/0!</v>
      </c>
    </row>
    <row r="99" spans="1:46" x14ac:dyDescent="0.5">
      <c r="A99" t="e">
        <f>"CE"&amp;#REF!</f>
        <v>#REF!</v>
      </c>
      <c r="B99" t="e">
        <f>"PE"&amp;#REF!</f>
        <v>#REF!</v>
      </c>
      <c r="AA99" s="57" t="e">
        <f t="shared" si="7"/>
        <v>#DIV/0!</v>
      </c>
    </row>
    <row r="100" spans="1:46" x14ac:dyDescent="0.5">
      <c r="A100" t="e">
        <f>"CE"&amp;#REF!</f>
        <v>#REF!</v>
      </c>
      <c r="B100" t="e">
        <f>"PE"&amp;#REF!</f>
        <v>#REF!</v>
      </c>
      <c r="AA100" s="57" t="e">
        <f t="shared" si="7"/>
        <v>#DIV/0!</v>
      </c>
    </row>
    <row r="101" spans="1:46" x14ac:dyDescent="0.5">
      <c r="A101" t="e">
        <f>"CE"&amp;#REF!</f>
        <v>#REF!</v>
      </c>
      <c r="B101" t="e">
        <f>"PE"&amp;#REF!</f>
        <v>#REF!</v>
      </c>
    </row>
    <row r="102" spans="1:46" x14ac:dyDescent="0.5">
      <c r="A102" t="e">
        <f>"CE"&amp;#REF!</f>
        <v>#REF!</v>
      </c>
      <c r="B102" t="e">
        <f>"PE"&amp;#REF!</f>
        <v>#REF!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46" x14ac:dyDescent="0.5">
      <c r="A103" t="e">
        <f>"CE"&amp;#REF!</f>
        <v>#REF!</v>
      </c>
      <c r="B103" t="e">
        <f>"PE"&amp;#REF!</f>
        <v>#REF!</v>
      </c>
    </row>
    <row r="104" spans="1:46" x14ac:dyDescent="0.5">
      <c r="A104" t="e">
        <f>"CE"&amp;#REF!</f>
        <v>#REF!</v>
      </c>
      <c r="B104" t="e">
        <f>"PE"&amp;#REF!</f>
        <v>#REF!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46" x14ac:dyDescent="0.5">
      <c r="A105" t="e">
        <f>"CE"&amp;#REF!</f>
        <v>#REF!</v>
      </c>
      <c r="B105" t="e">
        <f>"PE"&amp;#REF!</f>
        <v>#REF!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46" x14ac:dyDescent="0.5">
      <c r="A106" t="e">
        <f>"CE"&amp;#REF!</f>
        <v>#REF!</v>
      </c>
      <c r="B106" t="e">
        <f>"PE"&amp;#REF!</f>
        <v>#REF!</v>
      </c>
    </row>
    <row r="107" spans="1:46" x14ac:dyDescent="0.5">
      <c r="A107" t="e">
        <f>"CE"&amp;#REF!</f>
        <v>#REF!</v>
      </c>
      <c r="B107" t="e">
        <f>"PE"&amp;#REF!</f>
        <v>#REF!</v>
      </c>
    </row>
    <row r="108" spans="1:46" x14ac:dyDescent="0.5">
      <c r="A108" t="e">
        <f>"CE"&amp;#REF!</f>
        <v>#REF!</v>
      </c>
      <c r="B108" t="e">
        <f>"PE"&amp;#REF!</f>
        <v>#REF!</v>
      </c>
    </row>
    <row r="109" spans="1:46" x14ac:dyDescent="0.5">
      <c r="A109" t="e">
        <f>"CE"&amp;#REF!</f>
        <v>#REF!</v>
      </c>
      <c r="B109" t="e">
        <f>"PE"&amp;#REF!</f>
        <v>#REF!</v>
      </c>
    </row>
    <row r="110" spans="1:46" x14ac:dyDescent="0.5">
      <c r="A110" t="e">
        <f>"CE"&amp;#REF!</f>
        <v>#REF!</v>
      </c>
      <c r="B110" t="e">
        <f>"PE"&amp;#REF!</f>
        <v>#REF!</v>
      </c>
    </row>
    <row r="111" spans="1:46" x14ac:dyDescent="0.5">
      <c r="A111" t="e">
        <f>"CE"&amp;#REF!</f>
        <v>#REF!</v>
      </c>
      <c r="B111" t="e">
        <f>"PE"&amp;#REF!</f>
        <v>#REF!</v>
      </c>
    </row>
    <row r="112" spans="1:46" x14ac:dyDescent="0.5">
      <c r="A112" t="e">
        <f>"CE"&amp;#REF!</f>
        <v>#REF!</v>
      </c>
      <c r="B112" t="e">
        <f>"PE"&amp;#REF!</f>
        <v>#REF!</v>
      </c>
    </row>
    <row r="113" spans="1:2" x14ac:dyDescent="0.5">
      <c r="A113" t="e">
        <f>"CE"&amp;#REF!</f>
        <v>#REF!</v>
      </c>
      <c r="B113" t="e">
        <f>"PE"&amp;#REF!</f>
        <v>#REF!</v>
      </c>
    </row>
    <row r="114" spans="1:2" x14ac:dyDescent="0.5">
      <c r="A114" t="e">
        <f>"CE"&amp;#REF!</f>
        <v>#REF!</v>
      </c>
      <c r="B114" t="e">
        <f>"PE"&amp;#REF!</f>
        <v>#REF!</v>
      </c>
    </row>
    <row r="115" spans="1:2" x14ac:dyDescent="0.5">
      <c r="A115" t="e">
        <f>"CE"&amp;#REF!</f>
        <v>#REF!</v>
      </c>
      <c r="B115" t="e">
        <f>"PE"&amp;#REF!</f>
        <v>#REF!</v>
      </c>
    </row>
    <row r="116" spans="1:2" x14ac:dyDescent="0.5">
      <c r="A116" t="e">
        <f>"CE"&amp;#REF!</f>
        <v>#REF!</v>
      </c>
      <c r="B116" t="e">
        <f>"PE"&amp;#REF!</f>
        <v>#REF!</v>
      </c>
    </row>
    <row r="117" spans="1:2" x14ac:dyDescent="0.5">
      <c r="A117" t="e">
        <f>"CE"&amp;#REF!</f>
        <v>#REF!</v>
      </c>
      <c r="B117" t="e">
        <f>"PE"&amp;#REF!</f>
        <v>#REF!</v>
      </c>
    </row>
    <row r="118" spans="1:2" x14ac:dyDescent="0.5">
      <c r="A118" t="e">
        <f>"CE"&amp;#REF!</f>
        <v>#REF!</v>
      </c>
      <c r="B118" t="e">
        <f>"PE"&amp;#REF!</f>
        <v>#REF!</v>
      </c>
    </row>
    <row r="119" spans="1:2" x14ac:dyDescent="0.5">
      <c r="A119" t="e">
        <f>"CE"&amp;#REF!</f>
        <v>#REF!</v>
      </c>
      <c r="B119" t="e">
        <f>"PE"&amp;#REF!</f>
        <v>#REF!</v>
      </c>
    </row>
    <row r="120" spans="1:2" x14ac:dyDescent="0.5">
      <c r="A120" t="e">
        <f>"CE"&amp;#REF!</f>
        <v>#REF!</v>
      </c>
      <c r="B120" t="e">
        <f>"PE"&amp;#REF!</f>
        <v>#REF!</v>
      </c>
    </row>
    <row r="121" spans="1:2" x14ac:dyDescent="0.5">
      <c r="A121" t="e">
        <f>"CE"&amp;#REF!</f>
        <v>#REF!</v>
      </c>
      <c r="B121" t="e">
        <f>"PE"&amp;#REF!</f>
        <v>#REF!</v>
      </c>
    </row>
    <row r="122" spans="1:2" x14ac:dyDescent="0.5">
      <c r="A122" t="e">
        <f>"CE"&amp;#REF!</f>
        <v>#REF!</v>
      </c>
      <c r="B122" t="e">
        <f>"PE"&amp;#REF!</f>
        <v>#REF!</v>
      </c>
    </row>
    <row r="123" spans="1:2" x14ac:dyDescent="0.5">
      <c r="A123" t="e">
        <f>"CE"&amp;#REF!</f>
        <v>#REF!</v>
      </c>
      <c r="B123" t="e">
        <f>"PE"&amp;#REF!</f>
        <v>#REF!</v>
      </c>
    </row>
    <row r="124" spans="1:2" x14ac:dyDescent="0.5">
      <c r="A124" t="e">
        <f>"CE"&amp;#REF!</f>
        <v>#REF!</v>
      </c>
      <c r="B124" t="e">
        <f>"PE"&amp;#REF!</f>
        <v>#REF!</v>
      </c>
    </row>
    <row r="125" spans="1:2" x14ac:dyDescent="0.5">
      <c r="A125" t="e">
        <f>"CE"&amp;#REF!</f>
        <v>#REF!</v>
      </c>
      <c r="B125" t="e">
        <f>"PE"&amp;#REF!</f>
        <v>#REF!</v>
      </c>
    </row>
    <row r="126" spans="1:2" x14ac:dyDescent="0.5">
      <c r="A126" t="e">
        <f>"CE"&amp;#REF!</f>
        <v>#REF!</v>
      </c>
      <c r="B126" t="e">
        <f>"PE"&amp;#REF!</f>
        <v>#REF!</v>
      </c>
    </row>
    <row r="127" spans="1:2" x14ac:dyDescent="0.5">
      <c r="A127" t="e">
        <f>"CE"&amp;#REF!</f>
        <v>#REF!</v>
      </c>
      <c r="B127" t="e">
        <f>"PE"&amp;#REF!</f>
        <v>#REF!</v>
      </c>
    </row>
    <row r="128" spans="1:2" x14ac:dyDescent="0.5">
      <c r="A128" t="e">
        <f>"CE"&amp;#REF!</f>
        <v>#REF!</v>
      </c>
      <c r="B128" t="e">
        <f>"PE"&amp;#REF!</f>
        <v>#REF!</v>
      </c>
    </row>
    <row r="129" spans="1:2" x14ac:dyDescent="0.5">
      <c r="A129" t="e">
        <f>"CE"&amp;#REF!</f>
        <v>#REF!</v>
      </c>
      <c r="B129" t="e">
        <f>"PE"&amp;#REF!</f>
        <v>#REF!</v>
      </c>
    </row>
    <row r="130" spans="1:2" x14ac:dyDescent="0.5">
      <c r="A130" t="e">
        <f>"CE"&amp;#REF!</f>
        <v>#REF!</v>
      </c>
      <c r="B130" t="e">
        <f>"PE"&amp;#REF!</f>
        <v>#REF!</v>
      </c>
    </row>
    <row r="131" spans="1:2" x14ac:dyDescent="0.5">
      <c r="A131" t="e">
        <f>"CE"&amp;#REF!</f>
        <v>#REF!</v>
      </c>
      <c r="B131" t="e">
        <f>"PE"&amp;#REF!</f>
        <v>#REF!</v>
      </c>
    </row>
    <row r="132" spans="1:2" x14ac:dyDescent="0.5">
      <c r="A132" t="e">
        <f>"CE"&amp;#REF!</f>
        <v>#REF!</v>
      </c>
      <c r="B132" t="e">
        <f>"PE"&amp;#REF!</f>
        <v>#REF!</v>
      </c>
    </row>
    <row r="133" spans="1:2" x14ac:dyDescent="0.5">
      <c r="A133" t="e">
        <f>"CE"&amp;#REF!</f>
        <v>#REF!</v>
      </c>
      <c r="B133" t="e">
        <f>"PE"&amp;#REF!</f>
        <v>#REF!</v>
      </c>
    </row>
    <row r="134" spans="1:2" x14ac:dyDescent="0.5">
      <c r="A134" t="e">
        <f>"CE"&amp;#REF!</f>
        <v>#REF!</v>
      </c>
      <c r="B134" t="e">
        <f>"PE"&amp;#REF!</f>
        <v>#REF!</v>
      </c>
    </row>
    <row r="135" spans="1:2" x14ac:dyDescent="0.5">
      <c r="A135" t="e">
        <f>"CE"&amp;#REF!</f>
        <v>#REF!</v>
      </c>
      <c r="B135" t="e">
        <f>"PE"&amp;#REF!</f>
        <v>#REF!</v>
      </c>
    </row>
    <row r="136" spans="1:2" x14ac:dyDescent="0.5">
      <c r="A136" t="e">
        <f>"CE"&amp;#REF!</f>
        <v>#REF!</v>
      </c>
      <c r="B136" t="e">
        <f>"PE"&amp;#REF!</f>
        <v>#REF!</v>
      </c>
    </row>
    <row r="137" spans="1:2" x14ac:dyDescent="0.5">
      <c r="A137" t="e">
        <f>"CE"&amp;#REF!</f>
        <v>#REF!</v>
      </c>
      <c r="B137" t="e">
        <f>"PE"&amp;#REF!</f>
        <v>#REF!</v>
      </c>
    </row>
  </sheetData>
  <sortState ref="C1:E88">
    <sortCondition ref="D1:D88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98"/>
  <sheetViews>
    <sheetView zoomScale="90" zoomScaleNormal="90" workbookViewId="0">
      <selection activeCell="K7" sqref="K7"/>
    </sheetView>
  </sheetViews>
  <sheetFormatPr defaultColWidth="7.5859375" defaultRowHeight="14.35" x14ac:dyDescent="0.5"/>
  <cols>
    <col min="1" max="1" width="9.52734375" customWidth="1"/>
    <col min="2" max="2" width="7.52734375" bestFit="1" customWidth="1"/>
    <col min="4" max="4" width="20.41015625" customWidth="1"/>
    <col min="5" max="5" width="8.5859375" customWidth="1"/>
    <col min="6" max="6" width="8.234375" customWidth="1"/>
    <col min="7" max="7" width="8.41015625" customWidth="1"/>
    <col min="8" max="8" width="9.8203125" customWidth="1"/>
    <col min="9" max="9" width="11.703125" customWidth="1"/>
    <col min="10" max="10" width="9.41015625" customWidth="1"/>
    <col min="11" max="11" width="9.234375" customWidth="1"/>
    <col min="12" max="12" width="8.234375" customWidth="1"/>
    <col min="13" max="13" width="9" customWidth="1"/>
    <col min="14" max="14" width="9.234375" customWidth="1"/>
    <col min="15" max="15" width="12" bestFit="1" customWidth="1"/>
    <col min="16" max="16" width="11" customWidth="1"/>
    <col min="17" max="17" width="9.234375" customWidth="1"/>
    <col min="18" max="18" width="10.5859375" customWidth="1"/>
    <col min="19" max="19" width="10" customWidth="1"/>
    <col min="20" max="20" width="17.8203125" customWidth="1"/>
    <col min="21" max="21" width="10.234375" customWidth="1"/>
  </cols>
  <sheetData>
    <row r="1" spans="1:21" ht="15" customHeight="1" x14ac:dyDescent="0.5">
      <c r="A1" s="2"/>
      <c r="B1" s="2"/>
      <c r="C1" s="2"/>
      <c r="D1" s="7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5" t="s">
        <v>43</v>
      </c>
      <c r="R1" s="86"/>
      <c r="S1" s="87"/>
      <c r="T1" s="67" t="s">
        <v>42</v>
      </c>
      <c r="U1" s="2"/>
    </row>
    <row r="2" spans="1:21" x14ac:dyDescent="0.5">
      <c r="A2" s="2"/>
      <c r="B2" s="2"/>
      <c r="C2" s="2"/>
      <c r="D2" s="3"/>
      <c r="E2" s="2"/>
      <c r="F2" s="2"/>
      <c r="G2" s="2"/>
      <c r="H2" s="2"/>
      <c r="I2" s="4" t="s">
        <v>16</v>
      </c>
      <c r="J2" s="5">
        <f>'Data Nifty'!A4</f>
        <v>9360.5499999999993</v>
      </c>
      <c r="K2" s="2"/>
      <c r="L2" s="6" t="str">
        <f>'Data Nifty'!A2</f>
        <v>Last Update @  15:30:29</v>
      </c>
      <c r="M2" s="7"/>
      <c r="N2" s="7"/>
      <c r="O2" s="71" t="str">
        <f>'Data Nifty'!A1</f>
        <v>May 24, 2017</v>
      </c>
      <c r="P2" s="2"/>
      <c r="Q2" s="72" t="s">
        <v>45</v>
      </c>
      <c r="R2" s="69" t="s">
        <v>44</v>
      </c>
      <c r="S2" s="72" t="s">
        <v>46</v>
      </c>
      <c r="T2" s="73">
        <f ca="1">TODAY()</f>
        <v>42879</v>
      </c>
      <c r="U2" s="2"/>
    </row>
    <row r="3" spans="1:21" ht="18" x14ac:dyDescent="0.5">
      <c r="A3" s="2"/>
      <c r="B3" s="2"/>
      <c r="C3" s="2"/>
      <c r="D3" s="7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8"/>
      <c r="Q3" s="68">
        <v>0.72</v>
      </c>
      <c r="R3" s="70">
        <f>'PAIN Nifty'!B23</f>
        <v>0</v>
      </c>
      <c r="S3" s="68">
        <v>1.6</v>
      </c>
      <c r="T3" s="68"/>
      <c r="U3" s="2"/>
    </row>
    <row r="4" spans="1:21" x14ac:dyDescent="0.5">
      <c r="A4" s="2"/>
      <c r="B4" s="2"/>
      <c r="C4" s="2"/>
      <c r="D4" s="88" t="str">
        <f>'Data Nifty'!C3</f>
        <v xml:space="preserve">OR </v>
      </c>
      <c r="E4" s="89"/>
      <c r="F4" s="89"/>
      <c r="G4" s="89"/>
      <c r="H4" s="89"/>
      <c r="I4" s="90"/>
      <c r="J4" s="90"/>
      <c r="K4" s="91"/>
      <c r="L4" s="8"/>
      <c r="M4" s="92">
        <f>'Data Nifty'!O3</f>
        <v>0</v>
      </c>
      <c r="N4" s="93"/>
      <c r="O4" s="93"/>
      <c r="P4" s="94"/>
      <c r="Q4" s="94"/>
      <c r="R4" s="94"/>
      <c r="S4" s="94"/>
      <c r="T4" s="95"/>
      <c r="U4" s="2"/>
    </row>
    <row r="5" spans="1:21" ht="28.7" x14ac:dyDescent="0.5">
      <c r="A5" s="9"/>
      <c r="B5" s="9"/>
      <c r="C5" s="9"/>
      <c r="D5" s="10" t="s">
        <v>17</v>
      </c>
      <c r="E5" s="11" t="s">
        <v>18</v>
      </c>
      <c r="F5" s="11" t="s">
        <v>19</v>
      </c>
      <c r="G5" s="11" t="s">
        <v>32</v>
      </c>
      <c r="H5" s="11" t="s">
        <v>40</v>
      </c>
      <c r="I5" s="11" t="s">
        <v>39</v>
      </c>
      <c r="J5" s="11" t="s">
        <v>41</v>
      </c>
      <c r="K5" s="11" t="s">
        <v>38</v>
      </c>
      <c r="L5" s="12" t="s">
        <v>20</v>
      </c>
      <c r="M5" s="11" t="s">
        <v>35</v>
      </c>
      <c r="N5" s="11" t="s">
        <v>34</v>
      </c>
      <c r="O5" s="11" t="s">
        <v>36</v>
      </c>
      <c r="P5" s="11" t="s">
        <v>37</v>
      </c>
      <c r="Q5" s="11" t="s">
        <v>33</v>
      </c>
      <c r="R5" s="11" t="str">
        <f>F5</f>
        <v>price change</v>
      </c>
      <c r="S5" s="11" t="str">
        <f>E5</f>
        <v>OI change</v>
      </c>
      <c r="T5" s="13" t="str">
        <f>D5</f>
        <v>Interpretation</v>
      </c>
      <c r="U5" s="9"/>
    </row>
    <row r="6" spans="1:21" x14ac:dyDescent="0.5">
      <c r="A6" s="56" t="str">
        <f t="shared" ref="A6:A21" si="0">"CE"&amp;L6</f>
        <v>CE8600</v>
      </c>
      <c r="B6" s="56" t="str">
        <f t="shared" ref="B6:B21" si="1">"PE"&amp;L6</f>
        <v>PE8600</v>
      </c>
      <c r="C6" s="2"/>
      <c r="D6" s="14" t="str">
        <f t="shared" ref="D6:D20" si="2">IF(AND(J6&lt;0,I6&lt;0),"Long Liquidation",IF(AND(J6&lt;0,I6&gt;0),"Short Buildup",IF(AND(J6&gt;0,I6&gt;0),"Long Buildup",IF(AND(J6&gt;0,I6&lt;0),"Short covering"))))</f>
        <v>Long Liquidation</v>
      </c>
      <c r="E6" s="15" t="str">
        <f t="shared" ref="E6:E20" si="3">IF(I6&gt;0,"UP","DOWN")</f>
        <v>DOWN</v>
      </c>
      <c r="F6" s="16" t="str">
        <f t="shared" ref="F6:F20" si="4">IF(J6&gt;0,"UP","DOWN")</f>
        <v>DOWN</v>
      </c>
      <c r="G6" s="17">
        <f>VLOOKUP(A6,'Data Nifty'!A$11:AZ$113,6,0)</f>
        <v>915</v>
      </c>
      <c r="H6" s="18">
        <f>VLOOKUP(A6,'Data Nifty'!A$11:AZ$113,4,0)</f>
        <v>161925</v>
      </c>
      <c r="I6" s="64">
        <f>VLOOKUP(A6,'Data Nifty'!A$11:AZ$113,5,0)</f>
        <v>-51975</v>
      </c>
      <c r="J6" s="16">
        <f>VLOOKUP(A6,'Data Nifty'!A$11:AZ$113,9,0)</f>
        <v>-27.75</v>
      </c>
      <c r="K6" s="16">
        <f>VLOOKUP(A6,'Data Nifty'!A$11:AZ$113,8,0)</f>
        <v>760.4</v>
      </c>
      <c r="L6" s="19">
        <f>L14-800</f>
        <v>8600</v>
      </c>
      <c r="M6" s="16">
        <f>VLOOKUP(B6,'Data Nifty'!B$11:BN$113,19,0)</f>
        <v>0.35</v>
      </c>
      <c r="N6" s="16">
        <f>VLOOKUP(B6,'Data Nifty'!B$11:BN$113,18,0)</f>
        <v>-0.8</v>
      </c>
      <c r="O6" s="64">
        <f>VLOOKUP(B6,'Data Nifty'!B$11:BN$113,22,0)</f>
        <v>-10125</v>
      </c>
      <c r="P6" s="18">
        <f>VLOOKUP(B6,'Data Nifty'!B$11:BN$113,23,0)</f>
        <v>956100</v>
      </c>
      <c r="Q6" s="17">
        <f>VLOOKUP(B6,'Data Nifty'!B$11:BN$113,21,0)</f>
        <v>6416</v>
      </c>
      <c r="R6" s="16" t="str">
        <f t="shared" ref="R6:R21" si="5">IF(N6&gt;0,"UP","DOWN")</f>
        <v>DOWN</v>
      </c>
      <c r="S6" s="20" t="str">
        <f t="shared" ref="S6:S21" si="6">IF(O6&gt;0,"UP","DOWN")</f>
        <v>DOWN</v>
      </c>
      <c r="T6" s="21" t="str">
        <f t="shared" ref="T6:T21" si="7">IF(AND(N6&lt;0,O6&lt;0),"Long Liquidation",IF(AND(N6&lt;0,O6&gt;0),"Short Buildup",IF(AND(N6&gt;0,O6&gt;0),"Long Buildup",IF(AND(N6&gt;0,O6&lt;0),"Short covering"))))</f>
        <v>Long Liquidation</v>
      </c>
      <c r="U6" s="2"/>
    </row>
    <row r="7" spans="1:21" x14ac:dyDescent="0.5">
      <c r="A7" s="56" t="str">
        <f>"CE"&amp;L7</f>
        <v>CE8700</v>
      </c>
      <c r="B7" s="56" t="str">
        <f>"PE"&amp;L7</f>
        <v>PE8700</v>
      </c>
      <c r="C7" s="2"/>
      <c r="D7" s="14" t="str">
        <f>IF(AND(J7&lt;0,I7&lt;0),"Long Liquidation",IF(AND(J7&lt;0,I7&gt;0),"Short Buildup",IF(AND(J7&gt;0,I7&gt;0),"Long Buildup",IF(AND(J7&gt;0,I7&lt;0),"Short covering"))))</f>
        <v>Long Liquidation</v>
      </c>
      <c r="E7" s="15" t="str">
        <f>IF(I7&gt;0,"UP","DOWN")</f>
        <v>DOWN</v>
      </c>
      <c r="F7" s="16" t="str">
        <f>IF(J7&gt;0,"UP","DOWN")</f>
        <v>DOWN</v>
      </c>
      <c r="G7" s="17">
        <f>VLOOKUP(A7,'Data Nifty'!A$11:AZ$113,6,0)</f>
        <v>2119</v>
      </c>
      <c r="H7" s="18">
        <f>VLOOKUP(A7,'Data Nifty'!A$11:AZ$113,4,0)</f>
        <v>86925</v>
      </c>
      <c r="I7" s="64">
        <f>VLOOKUP(A7,'Data Nifty'!A$11:AZ$113,5,0)</f>
        <v>-111750</v>
      </c>
      <c r="J7" s="16">
        <f>VLOOKUP(A7,'Data Nifty'!A$11:AZ$113,9,0)</f>
        <v>-18.600000000000001</v>
      </c>
      <c r="K7" s="16">
        <f>VLOOKUP(A7,'Data Nifty'!A$11:AZ$113,8,0)</f>
        <v>664.2</v>
      </c>
      <c r="L7" s="19">
        <f>L14-700</f>
        <v>8700</v>
      </c>
      <c r="M7" s="16">
        <f>VLOOKUP(B7,'Data Nifty'!B$11:BN$113,19,0)</f>
        <v>0.35</v>
      </c>
      <c r="N7" s="16">
        <f>VLOOKUP(B7,'Data Nifty'!B$11:BN$113,18,0)</f>
        <v>-0.8</v>
      </c>
      <c r="O7" s="64">
        <f>VLOOKUP(B7,'Data Nifty'!B$11:BN$113,22,0)</f>
        <v>-99600</v>
      </c>
      <c r="P7" s="18">
        <f>VLOOKUP(B7,'Data Nifty'!B$11:BN$113,23,0)</f>
        <v>1058475</v>
      </c>
      <c r="Q7" s="17">
        <f>VLOOKUP(B7,'Data Nifty'!B$11:BN$113,21,0)</f>
        <v>12664</v>
      </c>
      <c r="R7" s="16" t="str">
        <f>IF(N7&gt;0,"UP","DOWN")</f>
        <v>DOWN</v>
      </c>
      <c r="S7" s="20" t="str">
        <f>IF(O7&gt;0,"UP","DOWN")</f>
        <v>DOWN</v>
      </c>
      <c r="T7" s="21" t="str">
        <f>IF(AND(N7&lt;0,O7&lt;0),"Long Liquidation",IF(AND(N7&lt;0,O7&gt;0),"Short Buildup",IF(AND(N7&gt;0,O7&gt;0),"Long Buildup",IF(AND(N7&gt;0,O7&lt;0),"Short covering"))))</f>
        <v>Long Liquidation</v>
      </c>
      <c r="U7" s="2"/>
    </row>
    <row r="8" spans="1:21" x14ac:dyDescent="0.5">
      <c r="A8" s="56" t="str">
        <f t="shared" si="0"/>
        <v>CE8800</v>
      </c>
      <c r="B8" s="56" t="str">
        <f t="shared" si="1"/>
        <v>PE8800</v>
      </c>
      <c r="C8" s="2"/>
      <c r="D8" s="14" t="str">
        <f t="shared" si="2"/>
        <v>Long Liquidation</v>
      </c>
      <c r="E8" s="15" t="str">
        <f t="shared" si="3"/>
        <v>DOWN</v>
      </c>
      <c r="F8" s="16" t="str">
        <f t="shared" si="4"/>
        <v>DOWN</v>
      </c>
      <c r="G8" s="17">
        <f>VLOOKUP(A8,'Data Nifty'!A$11:AZ$113,6,0)</f>
        <v>2523</v>
      </c>
      <c r="H8" s="18">
        <f>VLOOKUP(A8,'Data Nifty'!A$11:AZ$113,4,0)</f>
        <v>139575</v>
      </c>
      <c r="I8" s="64">
        <f>VLOOKUP(A8,'Data Nifty'!A$11:AZ$113,5,0)</f>
        <v>-131175</v>
      </c>
      <c r="J8" s="16">
        <f>VLOOKUP(A8,'Data Nifty'!A$11:AZ$113,9,0)</f>
        <v>-24.4</v>
      </c>
      <c r="K8" s="16">
        <f>VLOOKUP(A8,'Data Nifty'!A$11:AZ$113,8,0)</f>
        <v>557.4</v>
      </c>
      <c r="L8" s="19">
        <f>L14-600</f>
        <v>8800</v>
      </c>
      <c r="M8" s="16">
        <f>VLOOKUP(B8,'Data Nifty'!B$11:BN$113,19,0)</f>
        <v>0.3</v>
      </c>
      <c r="N8" s="16">
        <f>VLOOKUP(B8,'Data Nifty'!B$11:BN$113,18,0)</f>
        <v>-1.2</v>
      </c>
      <c r="O8" s="64">
        <f>VLOOKUP(B8,'Data Nifty'!B$11:BN$113,22,0)</f>
        <v>-126300</v>
      </c>
      <c r="P8" s="18">
        <f>VLOOKUP(B8,'Data Nifty'!B$11:BN$113,23,0)</f>
        <v>1569000</v>
      </c>
      <c r="Q8" s="17">
        <f>VLOOKUP(B8,'Data Nifty'!B$11:BN$113,21,0)</f>
        <v>16809</v>
      </c>
      <c r="R8" s="16" t="str">
        <f t="shared" si="5"/>
        <v>DOWN</v>
      </c>
      <c r="S8" s="20" t="str">
        <f t="shared" si="6"/>
        <v>DOWN</v>
      </c>
      <c r="T8" s="21" t="str">
        <f t="shared" si="7"/>
        <v>Long Liquidation</v>
      </c>
      <c r="U8" s="2"/>
    </row>
    <row r="9" spans="1:21" x14ac:dyDescent="0.5">
      <c r="A9" s="56" t="str">
        <f t="shared" si="0"/>
        <v>CE8900</v>
      </c>
      <c r="B9" s="56" t="str">
        <f t="shared" si="1"/>
        <v>PE8900</v>
      </c>
      <c r="C9" s="2"/>
      <c r="D9" s="14" t="str">
        <f t="shared" si="2"/>
        <v>Long Liquidation</v>
      </c>
      <c r="E9" s="15" t="str">
        <f t="shared" si="3"/>
        <v>DOWN</v>
      </c>
      <c r="F9" s="16" t="str">
        <f t="shared" si="4"/>
        <v>DOWN</v>
      </c>
      <c r="G9" s="17">
        <f>VLOOKUP(A9,'Data Nifty'!A$11:AZ$113,6,0)</f>
        <v>1316</v>
      </c>
      <c r="H9" s="18">
        <f>VLOOKUP(A9,'Data Nifty'!A$11:AZ$113,4,0)</f>
        <v>216150</v>
      </c>
      <c r="I9" s="64">
        <f>VLOOKUP(A9,'Data Nifty'!A$11:AZ$113,5,0)</f>
        <v>-66975</v>
      </c>
      <c r="J9" s="16">
        <f>VLOOKUP(A9,'Data Nifty'!A$11:AZ$113,9,0)</f>
        <v>-12.7</v>
      </c>
      <c r="K9" s="16">
        <f>VLOOKUP(A9,'Data Nifty'!A$11:AZ$113,8,0)</f>
        <v>467.6</v>
      </c>
      <c r="L9" s="19">
        <f>L14-500</f>
        <v>8900</v>
      </c>
      <c r="M9" s="16">
        <f>VLOOKUP(B9,'Data Nifty'!B$11:BN$113,19,0)</f>
        <v>0.5</v>
      </c>
      <c r="N9" s="16">
        <f>VLOOKUP(B9,'Data Nifty'!B$11:BN$113,18,0)</f>
        <v>-1.75</v>
      </c>
      <c r="O9" s="64">
        <f>VLOOKUP(B9,'Data Nifty'!B$11:BN$113,22,0)</f>
        <v>-26100</v>
      </c>
      <c r="P9" s="18">
        <f>VLOOKUP(B9,'Data Nifty'!B$11:BN$113,23,0)</f>
        <v>2579700</v>
      </c>
      <c r="Q9" s="17">
        <f>VLOOKUP(B9,'Data Nifty'!B$11:BN$113,21,0)</f>
        <v>63717</v>
      </c>
      <c r="R9" s="16" t="str">
        <f t="shared" si="5"/>
        <v>DOWN</v>
      </c>
      <c r="S9" s="20" t="str">
        <f t="shared" si="6"/>
        <v>DOWN</v>
      </c>
      <c r="T9" s="21" t="str">
        <f t="shared" si="7"/>
        <v>Long Liquidation</v>
      </c>
      <c r="U9" s="2"/>
    </row>
    <row r="10" spans="1:21" x14ac:dyDescent="0.5">
      <c r="A10" s="56" t="str">
        <f t="shared" si="0"/>
        <v>CE9000</v>
      </c>
      <c r="B10" s="56" t="str">
        <f t="shared" si="1"/>
        <v>PE9000</v>
      </c>
      <c r="C10" s="2"/>
      <c r="D10" s="14" t="str">
        <f t="shared" si="2"/>
        <v>Long Liquidation</v>
      </c>
      <c r="E10" s="15" t="str">
        <f t="shared" si="3"/>
        <v>DOWN</v>
      </c>
      <c r="F10" s="16" t="str">
        <f t="shared" si="4"/>
        <v>DOWN</v>
      </c>
      <c r="G10" s="17">
        <f>VLOOKUP(A10,'Data Nifty'!A$11:AZ$113,6,0)</f>
        <v>3687</v>
      </c>
      <c r="H10" s="18">
        <f>VLOOKUP(A10,'Data Nifty'!A$11:AZ$113,4,0)</f>
        <v>299625</v>
      </c>
      <c r="I10" s="64">
        <f>VLOOKUP(A10,'Data Nifty'!A$11:AZ$113,5,0)</f>
        <v>-96375</v>
      </c>
      <c r="J10" s="16">
        <f>VLOOKUP(A10,'Data Nifty'!A$11:AZ$113,9,0)</f>
        <v>-15.5</v>
      </c>
      <c r="K10" s="16">
        <f>VLOOKUP(A10,'Data Nifty'!A$11:AZ$113,8,0)</f>
        <v>367.75</v>
      </c>
      <c r="L10" s="19">
        <f>L14-400</f>
        <v>9000</v>
      </c>
      <c r="M10" s="16">
        <f>VLOOKUP(B10,'Data Nifty'!B$11:BN$113,19,0)</f>
        <v>0.7</v>
      </c>
      <c r="N10" s="16">
        <f>VLOOKUP(B10,'Data Nifty'!B$11:BN$113,18,0)</f>
        <v>-2.4</v>
      </c>
      <c r="O10" s="64">
        <f>VLOOKUP(B10,'Data Nifty'!B$11:BN$113,22,0)</f>
        <v>-307725</v>
      </c>
      <c r="P10" s="18">
        <f>VLOOKUP(B10,'Data Nifty'!B$11:BN$113,23,0)</f>
        <v>4494900</v>
      </c>
      <c r="Q10" s="17">
        <f>VLOOKUP(B10,'Data Nifty'!B$11:BN$113,21,0)</f>
        <v>129201</v>
      </c>
      <c r="R10" s="16" t="str">
        <f t="shared" si="5"/>
        <v>DOWN</v>
      </c>
      <c r="S10" s="20" t="str">
        <f t="shared" si="6"/>
        <v>DOWN</v>
      </c>
      <c r="T10" s="21" t="str">
        <f t="shared" si="7"/>
        <v>Long Liquidation</v>
      </c>
      <c r="U10" s="2"/>
    </row>
    <row r="11" spans="1:21" x14ac:dyDescent="0.5">
      <c r="A11" s="56" t="str">
        <f t="shared" si="0"/>
        <v>CE9100</v>
      </c>
      <c r="B11" s="56" t="str">
        <f t="shared" si="1"/>
        <v>PE9100</v>
      </c>
      <c r="C11" s="2"/>
      <c r="D11" s="14" t="str">
        <f t="shared" si="2"/>
        <v>Long Liquidation</v>
      </c>
      <c r="E11" s="15" t="str">
        <f t="shared" si="3"/>
        <v>DOWN</v>
      </c>
      <c r="F11" s="16" t="str">
        <f t="shared" si="4"/>
        <v>DOWN</v>
      </c>
      <c r="G11" s="17">
        <f>VLOOKUP(A11,'Data Nifty'!A$11:AZ$113,6,0)</f>
        <v>1752</v>
      </c>
      <c r="H11" s="18">
        <f>VLOOKUP(A11,'Data Nifty'!A$11:AZ$113,4,0)</f>
        <v>232500</v>
      </c>
      <c r="I11" s="64">
        <f>VLOOKUP(A11,'Data Nifty'!A$11:AZ$113,5,0)</f>
        <v>-65100</v>
      </c>
      <c r="J11" s="16">
        <f>VLOOKUP(A11,'Data Nifty'!A$11:AZ$113,9,0)</f>
        <v>-20.45</v>
      </c>
      <c r="K11" s="16">
        <f>VLOOKUP(A11,'Data Nifty'!A$11:AZ$113,8,0)</f>
        <v>269.14999999999998</v>
      </c>
      <c r="L11" s="19">
        <f>L14-300</f>
        <v>9100</v>
      </c>
      <c r="M11" s="16">
        <f>VLOOKUP(B11,'Data Nifty'!B$11:BN$113,19,0)</f>
        <v>1.3</v>
      </c>
      <c r="N11" s="16">
        <f>VLOOKUP(B11,'Data Nifty'!B$11:BN$113,18,0)</f>
        <v>-3.4</v>
      </c>
      <c r="O11" s="64">
        <f>VLOOKUP(B11,'Data Nifty'!B$11:BN$113,22,0)</f>
        <v>-142575</v>
      </c>
      <c r="P11" s="18">
        <f>VLOOKUP(B11,'Data Nifty'!B$11:BN$113,23,0)</f>
        <v>3609900</v>
      </c>
      <c r="Q11" s="17">
        <f>VLOOKUP(B11,'Data Nifty'!B$11:BN$113,21,0)</f>
        <v>194032</v>
      </c>
      <c r="R11" s="16" t="str">
        <f t="shared" si="5"/>
        <v>DOWN</v>
      </c>
      <c r="S11" s="20" t="str">
        <f t="shared" si="6"/>
        <v>DOWN</v>
      </c>
      <c r="T11" s="21" t="str">
        <f t="shared" si="7"/>
        <v>Long Liquidation</v>
      </c>
      <c r="U11" s="2"/>
    </row>
    <row r="12" spans="1:21" x14ac:dyDescent="0.5">
      <c r="A12" s="56" t="str">
        <f t="shared" si="0"/>
        <v>CE9200</v>
      </c>
      <c r="B12" s="56" t="str">
        <f t="shared" si="1"/>
        <v>PE9200</v>
      </c>
      <c r="C12" s="2"/>
      <c r="D12" s="14" t="str">
        <f t="shared" si="2"/>
        <v>Long Liquidation</v>
      </c>
      <c r="E12" s="15" t="str">
        <f t="shared" si="3"/>
        <v>DOWN</v>
      </c>
      <c r="F12" s="16" t="str">
        <f t="shared" si="4"/>
        <v>DOWN</v>
      </c>
      <c r="G12" s="17">
        <f>VLOOKUP(A12,'Data Nifty'!A$11:AZ$113,6,0)</f>
        <v>8067</v>
      </c>
      <c r="H12" s="18">
        <f>VLOOKUP(A12,'Data Nifty'!A$11:AZ$113,4,0)</f>
        <v>320850</v>
      </c>
      <c r="I12" s="64">
        <f>VLOOKUP(A12,'Data Nifty'!A$11:AZ$113,5,0)</f>
        <v>-152325</v>
      </c>
      <c r="J12" s="16">
        <f>VLOOKUP(A12,'Data Nifty'!A$11:AZ$113,9,0)</f>
        <v>-23.5</v>
      </c>
      <c r="K12" s="16">
        <f>VLOOKUP(A12,'Data Nifty'!A$11:AZ$113,8,0)</f>
        <v>174.45</v>
      </c>
      <c r="L12" s="19">
        <f>L14-200</f>
        <v>9200</v>
      </c>
      <c r="M12" s="16">
        <f>VLOOKUP(B12,'Data Nifty'!B$11:BN$113,19,0)</f>
        <v>2.85</v>
      </c>
      <c r="N12" s="16">
        <f>VLOOKUP(B12,'Data Nifty'!B$11:BN$113,18,0)</f>
        <v>-6.6</v>
      </c>
      <c r="O12" s="64">
        <f>VLOOKUP(B12,'Data Nifty'!B$11:BN$113,22,0)</f>
        <v>-451575</v>
      </c>
      <c r="P12" s="18">
        <f>VLOOKUP(B12,'Data Nifty'!B$11:BN$113,23,0)</f>
        <v>3408300</v>
      </c>
      <c r="Q12" s="17">
        <f>VLOOKUP(B12,'Data Nifty'!B$11:BN$113,21,0)</f>
        <v>342099</v>
      </c>
      <c r="R12" s="16" t="str">
        <f t="shared" si="5"/>
        <v>DOWN</v>
      </c>
      <c r="S12" s="20" t="str">
        <f t="shared" si="6"/>
        <v>DOWN</v>
      </c>
      <c r="T12" s="21" t="str">
        <f t="shared" si="7"/>
        <v>Long Liquidation</v>
      </c>
      <c r="U12" s="2"/>
    </row>
    <row r="13" spans="1:21" x14ac:dyDescent="0.5">
      <c r="A13" s="56" t="str">
        <f t="shared" si="0"/>
        <v>CE9300</v>
      </c>
      <c r="B13" s="56" t="str">
        <f t="shared" si="1"/>
        <v>PE9300</v>
      </c>
      <c r="C13" s="2"/>
      <c r="D13" s="14" t="str">
        <f t="shared" si="2"/>
        <v>Long Liquidation</v>
      </c>
      <c r="E13" s="15" t="str">
        <f t="shared" si="3"/>
        <v>DOWN</v>
      </c>
      <c r="F13" s="16" t="str">
        <f t="shared" si="4"/>
        <v>DOWN</v>
      </c>
      <c r="G13" s="17">
        <f>VLOOKUP(A13,'Data Nifty'!A$11:AZ$113,6,0)</f>
        <v>144472</v>
      </c>
      <c r="H13" s="18">
        <f>VLOOKUP(A13,'Data Nifty'!A$11:AZ$113,4,0)</f>
        <v>1215375</v>
      </c>
      <c r="I13" s="64">
        <f>VLOOKUP(A13,'Data Nifty'!A$11:AZ$113,5,0)</f>
        <v>-91500</v>
      </c>
      <c r="J13" s="16">
        <f>VLOOKUP(A13,'Data Nifty'!A$11:AZ$113,9,0)</f>
        <v>-26.75</v>
      </c>
      <c r="K13" s="16">
        <f>VLOOKUP(A13,'Data Nifty'!A$11:AZ$113,8,0)</f>
        <v>79.75</v>
      </c>
      <c r="L13" s="19">
        <f>L14-100</f>
        <v>9300</v>
      </c>
      <c r="M13" s="16">
        <f>VLOOKUP(B13,'Data Nifty'!B$11:BN$113,19,0)</f>
        <v>9.8000000000000007</v>
      </c>
      <c r="N13" s="16">
        <f>VLOOKUP(B13,'Data Nifty'!B$11:BN$113,18,0)</f>
        <v>-12.35</v>
      </c>
      <c r="O13" s="64">
        <f>VLOOKUP(B13,'Data Nifty'!B$11:BN$113,22,0)</f>
        <v>-533175</v>
      </c>
      <c r="P13" s="18">
        <f>VLOOKUP(B13,'Data Nifty'!B$11:BN$113,23,0)</f>
        <v>4893375</v>
      </c>
      <c r="Q13" s="17">
        <f>VLOOKUP(B13,'Data Nifty'!B$11:BN$113,21,0)</f>
        <v>668026</v>
      </c>
      <c r="R13" s="16" t="str">
        <f t="shared" si="5"/>
        <v>DOWN</v>
      </c>
      <c r="S13" s="20" t="str">
        <f t="shared" si="6"/>
        <v>DOWN</v>
      </c>
      <c r="T13" s="21" t="str">
        <f t="shared" si="7"/>
        <v>Long Liquidation</v>
      </c>
      <c r="U13" s="2"/>
    </row>
    <row r="14" spans="1:21" ht="15.7" x14ac:dyDescent="0.5">
      <c r="A14" s="56" t="str">
        <f t="shared" si="0"/>
        <v>CE9400</v>
      </c>
      <c r="B14" s="56" t="str">
        <f t="shared" si="1"/>
        <v>PE9400</v>
      </c>
      <c r="C14" s="2"/>
      <c r="D14" s="14" t="str">
        <f t="shared" si="2"/>
        <v>Long Liquidation</v>
      </c>
      <c r="E14" s="15" t="str">
        <f t="shared" si="3"/>
        <v>DOWN</v>
      </c>
      <c r="F14" s="16" t="str">
        <f t="shared" si="4"/>
        <v>DOWN</v>
      </c>
      <c r="G14" s="17">
        <f>VLOOKUP(A14,'Data Nifty'!A$11:AZ$113,6,0)</f>
        <v>816526</v>
      </c>
      <c r="H14" s="18">
        <f>VLOOKUP(A14,'Data Nifty'!A$11:AZ$113,4,0)</f>
        <v>4749150</v>
      </c>
      <c r="I14" s="64">
        <f>VLOOKUP(A14,'Data Nifty'!A$11:AZ$113,5,0)</f>
        <v>-227850</v>
      </c>
      <c r="J14" s="16">
        <f>VLOOKUP(A14,'Data Nifty'!A$11:AZ$113,9,0)</f>
        <v>-21.5</v>
      </c>
      <c r="K14" s="16">
        <f>VLOOKUP(A14,'Data Nifty'!A$11:AZ$113,8,0)</f>
        <v>15.3</v>
      </c>
      <c r="L14" s="22">
        <f>'Data Nifty'!A5</f>
        <v>9400</v>
      </c>
      <c r="M14" s="16">
        <f>VLOOKUP(B14,'Data Nifty'!B$11:BN$113,19,0)</f>
        <v>40.65</v>
      </c>
      <c r="N14" s="16">
        <f>VLOOKUP(B14,'Data Nifty'!B$11:BN$113,18,0)</f>
        <v>-9.1999999999999993</v>
      </c>
      <c r="O14" s="64">
        <f>VLOOKUP(B14,'Data Nifty'!B$11:BN$113,22,0)</f>
        <v>-1110225</v>
      </c>
      <c r="P14" s="18">
        <f>VLOOKUP(B14,'Data Nifty'!B$11:BN$113,23,0)</f>
        <v>3535800</v>
      </c>
      <c r="Q14" s="17">
        <f>VLOOKUP(B14,'Data Nifty'!B$11:BN$113,21,0)</f>
        <v>706199</v>
      </c>
      <c r="R14" s="16" t="str">
        <f t="shared" si="5"/>
        <v>DOWN</v>
      </c>
      <c r="S14" s="20" t="str">
        <f t="shared" si="6"/>
        <v>DOWN</v>
      </c>
      <c r="T14" s="21" t="str">
        <f t="shared" si="7"/>
        <v>Long Liquidation</v>
      </c>
      <c r="U14" s="2"/>
    </row>
    <row r="15" spans="1:21" x14ac:dyDescent="0.5">
      <c r="A15" s="56" t="str">
        <f t="shared" si="0"/>
        <v>CE9500</v>
      </c>
      <c r="B15" s="56" t="str">
        <f t="shared" si="1"/>
        <v>PE9500</v>
      </c>
      <c r="C15" s="2"/>
      <c r="D15" s="14" t="str">
        <f t="shared" si="2"/>
        <v>Short Buildup</v>
      </c>
      <c r="E15" s="15" t="str">
        <f t="shared" si="3"/>
        <v>UP</v>
      </c>
      <c r="F15" s="16" t="str">
        <f t="shared" si="4"/>
        <v>DOWN</v>
      </c>
      <c r="G15" s="17">
        <f>VLOOKUP(A15,'Data Nifty'!A$11:AZ$113,6,0)</f>
        <v>633479</v>
      </c>
      <c r="H15" s="18">
        <f>VLOOKUP(A15,'Data Nifty'!A$11:AZ$113,4,0)</f>
        <v>6679425</v>
      </c>
      <c r="I15" s="64">
        <f>VLOOKUP(A15,'Data Nifty'!A$11:AZ$113,5,0)</f>
        <v>78075</v>
      </c>
      <c r="J15" s="16">
        <f>VLOOKUP(A15,'Data Nifty'!A$11:AZ$113,9,0)</f>
        <v>-6.15</v>
      </c>
      <c r="K15" s="16">
        <f>VLOOKUP(A15,'Data Nifty'!A$11:AZ$113,8,0)</f>
        <v>1.05</v>
      </c>
      <c r="L15" s="19">
        <f t="shared" ref="L15:L21" si="8">L14+100</f>
        <v>9500</v>
      </c>
      <c r="M15" s="16">
        <f>VLOOKUP(B15,'Data Nifty'!B$11:BN$113,19,0)</f>
        <v>119.45</v>
      </c>
      <c r="N15" s="16">
        <f>VLOOKUP(B15,'Data Nifty'!B$11:BN$113,18,0)</f>
        <v>7.3</v>
      </c>
      <c r="O15" s="64">
        <f>VLOOKUP(B15,'Data Nifty'!B$11:BN$113,22,0)</f>
        <v>-477000</v>
      </c>
      <c r="P15" s="18">
        <f>VLOOKUP(B15,'Data Nifty'!B$11:BN$113,23,0)</f>
        <v>999600</v>
      </c>
      <c r="Q15" s="17">
        <f>VLOOKUP(B15,'Data Nifty'!B$11:BN$113,21,0)</f>
        <v>121726</v>
      </c>
      <c r="R15" s="16" t="str">
        <f t="shared" si="5"/>
        <v>UP</v>
      </c>
      <c r="S15" s="20" t="str">
        <f t="shared" si="6"/>
        <v>DOWN</v>
      </c>
      <c r="T15" s="21" t="str">
        <f t="shared" si="7"/>
        <v>Short covering</v>
      </c>
      <c r="U15" s="2"/>
    </row>
    <row r="16" spans="1:21" x14ac:dyDescent="0.5">
      <c r="A16" s="56" t="str">
        <f t="shared" si="0"/>
        <v>CE9600</v>
      </c>
      <c r="B16" s="56" t="str">
        <f t="shared" si="1"/>
        <v>PE9600</v>
      </c>
      <c r="C16" s="2"/>
      <c r="D16" s="14" t="str">
        <f t="shared" si="2"/>
        <v>Long Liquidation</v>
      </c>
      <c r="E16" s="15" t="str">
        <f t="shared" si="3"/>
        <v>DOWN</v>
      </c>
      <c r="F16" s="16" t="str">
        <f t="shared" si="4"/>
        <v>DOWN</v>
      </c>
      <c r="G16" s="17">
        <f>VLOOKUP(A16,'Data Nifty'!A$11:AZ$113,6,0)</f>
        <v>188857</v>
      </c>
      <c r="H16" s="18">
        <f>VLOOKUP(A16,'Data Nifty'!A$11:AZ$113,4,0)</f>
        <v>4459575</v>
      </c>
      <c r="I16" s="64">
        <f>VLOOKUP(A16,'Data Nifty'!A$11:AZ$113,5,0)</f>
        <v>-1215225</v>
      </c>
      <c r="J16" s="16">
        <f>VLOOKUP(A16,'Data Nifty'!A$11:AZ$113,9,0)</f>
        <v>-1.05</v>
      </c>
      <c r="K16" s="16">
        <f>VLOOKUP(A16,'Data Nifty'!A$11:AZ$113,8,0)</f>
        <v>0.4</v>
      </c>
      <c r="L16" s="19">
        <f t="shared" si="8"/>
        <v>9600</v>
      </c>
      <c r="M16" s="16">
        <f>VLOOKUP(B16,'Data Nifty'!B$11:BN$113,19,0)</f>
        <v>217.7</v>
      </c>
      <c r="N16" s="16">
        <f>VLOOKUP(B16,'Data Nifty'!B$11:BN$113,18,0)</f>
        <v>9.3000000000000007</v>
      </c>
      <c r="O16" s="64">
        <f>VLOOKUP(B16,'Data Nifty'!B$11:BN$113,22,0)</f>
        <v>-109500</v>
      </c>
      <c r="P16" s="18">
        <f>VLOOKUP(B16,'Data Nifty'!B$11:BN$113,23,0)</f>
        <v>192750</v>
      </c>
      <c r="Q16" s="17">
        <f>VLOOKUP(B16,'Data Nifty'!B$11:BN$113,21,0)</f>
        <v>8603</v>
      </c>
      <c r="R16" s="16" t="str">
        <f t="shared" si="5"/>
        <v>UP</v>
      </c>
      <c r="S16" s="20" t="str">
        <f t="shared" si="6"/>
        <v>DOWN</v>
      </c>
      <c r="T16" s="21" t="str">
        <f t="shared" si="7"/>
        <v>Short covering</v>
      </c>
      <c r="U16" s="2"/>
    </row>
    <row r="17" spans="1:21" x14ac:dyDescent="0.5">
      <c r="A17" s="56" t="str">
        <f t="shared" si="0"/>
        <v>CE9700</v>
      </c>
      <c r="B17" s="56" t="str">
        <f t="shared" si="1"/>
        <v>PE9700</v>
      </c>
      <c r="C17" s="2"/>
      <c r="D17" s="14" t="str">
        <f t="shared" si="2"/>
        <v>Long Liquidation</v>
      </c>
      <c r="E17" s="15" t="str">
        <f t="shared" si="3"/>
        <v>DOWN</v>
      </c>
      <c r="F17" s="16" t="str">
        <f t="shared" si="4"/>
        <v>DOWN</v>
      </c>
      <c r="G17" s="17">
        <f>VLOOKUP(A17,'Data Nifty'!A$11:AZ$113,6,0)</f>
        <v>34075</v>
      </c>
      <c r="H17" s="18">
        <f>VLOOKUP(A17,'Data Nifty'!A$11:AZ$113,4,0)</f>
        <v>1730325</v>
      </c>
      <c r="I17" s="64">
        <f>VLOOKUP(A17,'Data Nifty'!A$11:AZ$113,5,0)</f>
        <v>-192000</v>
      </c>
      <c r="J17" s="16">
        <f>VLOOKUP(A17,'Data Nifty'!A$11:AZ$113,9,0)</f>
        <v>-0.45</v>
      </c>
      <c r="K17" s="16">
        <f>VLOOKUP(A17,'Data Nifty'!A$11:AZ$113,8,0)</f>
        <v>0.2</v>
      </c>
      <c r="L17" s="19">
        <f t="shared" si="8"/>
        <v>9700</v>
      </c>
      <c r="M17" s="16">
        <f>VLOOKUP(B17,'Data Nifty'!B$11:BN$113,19,0)</f>
        <v>324.35000000000002</v>
      </c>
      <c r="N17" s="16">
        <f>VLOOKUP(B17,'Data Nifty'!B$11:BN$113,18,0)</f>
        <v>17.25</v>
      </c>
      <c r="O17" s="64">
        <f>VLOOKUP(B17,'Data Nifty'!B$11:BN$113,22,0)</f>
        <v>-8325</v>
      </c>
      <c r="P17" s="18">
        <f>VLOOKUP(B17,'Data Nifty'!B$11:BN$113,23,0)</f>
        <v>60450</v>
      </c>
      <c r="Q17" s="17">
        <f>VLOOKUP(B17,'Data Nifty'!B$11:BN$113,21,0)</f>
        <v>720</v>
      </c>
      <c r="R17" s="16" t="str">
        <f t="shared" si="5"/>
        <v>UP</v>
      </c>
      <c r="S17" s="20" t="str">
        <f t="shared" si="6"/>
        <v>DOWN</v>
      </c>
      <c r="T17" s="21" t="str">
        <f t="shared" si="7"/>
        <v>Short covering</v>
      </c>
      <c r="U17" s="2"/>
    </row>
    <row r="18" spans="1:21" x14ac:dyDescent="0.5">
      <c r="A18" s="56" t="str">
        <f t="shared" si="0"/>
        <v>CE9800</v>
      </c>
      <c r="B18" s="56" t="str">
        <f t="shared" si="1"/>
        <v>PE9800</v>
      </c>
      <c r="C18" s="2"/>
      <c r="D18" s="14" t="str">
        <f t="shared" si="2"/>
        <v>Long Liquidation</v>
      </c>
      <c r="E18" s="15" t="str">
        <f t="shared" si="3"/>
        <v>DOWN</v>
      </c>
      <c r="F18" s="16" t="str">
        <f t="shared" si="4"/>
        <v>DOWN</v>
      </c>
      <c r="G18" s="17">
        <f>VLOOKUP(A18,'Data Nifty'!A$11:AZ$113,6,0)</f>
        <v>3728</v>
      </c>
      <c r="H18" s="18">
        <f>VLOOKUP(A18,'Data Nifty'!A$11:AZ$113,4,0)</f>
        <v>721350</v>
      </c>
      <c r="I18" s="64">
        <f>VLOOKUP(A18,'Data Nifty'!A$11:AZ$113,5,0)</f>
        <v>-29400</v>
      </c>
      <c r="J18" s="16">
        <f>VLOOKUP(A18,'Data Nifty'!A$11:AZ$113,9,0)</f>
        <v>-0.25</v>
      </c>
      <c r="K18" s="16">
        <f>VLOOKUP(A18,'Data Nifty'!A$11:AZ$113,8,0)</f>
        <v>0.15</v>
      </c>
      <c r="L18" s="19">
        <f t="shared" si="8"/>
        <v>9800</v>
      </c>
      <c r="M18" s="16">
        <f>VLOOKUP(B18,'Data Nifty'!B$11:BN$113,19,0)</f>
        <v>426.4</v>
      </c>
      <c r="N18" s="16">
        <f>VLOOKUP(B18,'Data Nifty'!B$11:BN$113,18,0)</f>
        <v>48.4</v>
      </c>
      <c r="O18" s="64">
        <f>VLOOKUP(B18,'Data Nifty'!B$11:BN$113,22,0)</f>
        <v>-1500</v>
      </c>
      <c r="P18" s="18">
        <f>VLOOKUP(B18,'Data Nifty'!B$11:BN$113,23,0)</f>
        <v>27150</v>
      </c>
      <c r="Q18" s="17">
        <f>VLOOKUP(B18,'Data Nifty'!B$11:BN$113,21,0)</f>
        <v>95</v>
      </c>
      <c r="R18" s="16" t="str">
        <f t="shared" si="5"/>
        <v>UP</v>
      </c>
      <c r="S18" s="20" t="str">
        <f t="shared" si="6"/>
        <v>DOWN</v>
      </c>
      <c r="T18" s="21" t="str">
        <f t="shared" si="7"/>
        <v>Short covering</v>
      </c>
      <c r="U18" s="2"/>
    </row>
    <row r="19" spans="1:21" x14ac:dyDescent="0.5">
      <c r="A19" s="56" t="str">
        <f t="shared" si="0"/>
        <v>CE9900</v>
      </c>
      <c r="B19" s="56" t="str">
        <f t="shared" si="1"/>
        <v>PE9900</v>
      </c>
      <c r="C19" s="2"/>
      <c r="D19" s="14" t="str">
        <f t="shared" si="2"/>
        <v>Short Buildup</v>
      </c>
      <c r="E19" s="15" t="str">
        <f t="shared" si="3"/>
        <v>UP</v>
      </c>
      <c r="F19" s="16" t="str">
        <f t="shared" si="4"/>
        <v>DOWN</v>
      </c>
      <c r="G19" s="17">
        <f>VLOOKUP(A19,'Data Nifty'!A$11:AZ$113,6,0)</f>
        <v>1234</v>
      </c>
      <c r="H19" s="18">
        <f>VLOOKUP(A19,'Data Nifty'!A$11:AZ$113,4,0)</f>
        <v>420525</v>
      </c>
      <c r="I19" s="64">
        <f>VLOOKUP(A19,'Data Nifty'!A$11:AZ$113,5,0)</f>
        <v>900</v>
      </c>
      <c r="J19" s="16">
        <f>VLOOKUP(A19,'Data Nifty'!A$11:AZ$113,9,0)</f>
        <v>-0.25</v>
      </c>
      <c r="K19" s="16">
        <f>VLOOKUP(A19,'Data Nifty'!A$11:AZ$113,8,0)</f>
        <v>0.1</v>
      </c>
      <c r="L19" s="19">
        <f t="shared" si="8"/>
        <v>9900</v>
      </c>
      <c r="M19" s="16">
        <f>VLOOKUP(B19,'Data Nifty'!B$11:BN$113,19,0)</f>
        <v>533.65</v>
      </c>
      <c r="N19" s="16">
        <f>VLOOKUP(B19,'Data Nifty'!B$11:BN$113,18,0)</f>
        <v>42.35</v>
      </c>
      <c r="O19" s="64">
        <f>VLOOKUP(B19,'Data Nifty'!B$11:BN$113,22,0)</f>
        <v>-20925</v>
      </c>
      <c r="P19" s="18">
        <f>VLOOKUP(B19,'Data Nifty'!B$11:BN$113,23,0)</f>
        <v>20775</v>
      </c>
      <c r="Q19" s="17">
        <f>VLOOKUP(B19,'Data Nifty'!B$11:BN$113,21,0)</f>
        <v>454</v>
      </c>
      <c r="R19" s="16" t="str">
        <f t="shared" si="5"/>
        <v>UP</v>
      </c>
      <c r="S19" s="20" t="str">
        <f t="shared" si="6"/>
        <v>DOWN</v>
      </c>
      <c r="T19" s="21" t="str">
        <f t="shared" si="7"/>
        <v>Short covering</v>
      </c>
      <c r="U19" s="2"/>
    </row>
    <row r="20" spans="1:21" x14ac:dyDescent="0.5">
      <c r="A20" s="56" t="str">
        <f t="shared" si="0"/>
        <v>CE10000</v>
      </c>
      <c r="B20" s="56" t="str">
        <f t="shared" si="1"/>
        <v>PE10000</v>
      </c>
      <c r="C20" s="2"/>
      <c r="D20" s="14" t="str">
        <f t="shared" si="2"/>
        <v>Long Liquidation</v>
      </c>
      <c r="E20" s="15" t="str">
        <f t="shared" si="3"/>
        <v>DOWN</v>
      </c>
      <c r="F20" s="16" t="str">
        <f t="shared" si="4"/>
        <v>DOWN</v>
      </c>
      <c r="G20" s="17">
        <f>VLOOKUP(A20,'Data Nifty'!A$11:AZ$113,6,0)</f>
        <v>3094</v>
      </c>
      <c r="H20" s="18">
        <f>VLOOKUP(A20,'Data Nifty'!A$11:AZ$113,4,0)</f>
        <v>1140900</v>
      </c>
      <c r="I20" s="64">
        <f>VLOOKUP(A20,'Data Nifty'!A$11:AZ$113,5,0)</f>
        <v>-25050</v>
      </c>
      <c r="J20" s="16">
        <f>VLOOKUP(A20,'Data Nifty'!A$11:AZ$113,9,0)</f>
        <v>-0.3</v>
      </c>
      <c r="K20" s="16">
        <f>VLOOKUP(A20,'Data Nifty'!A$11:AZ$113,8,0)</f>
        <v>0.1</v>
      </c>
      <c r="L20" s="19">
        <f t="shared" si="8"/>
        <v>10000</v>
      </c>
      <c r="M20" s="16">
        <f>VLOOKUP(B20,'Data Nifty'!B$11:BN$113,19,0)</f>
        <v>620</v>
      </c>
      <c r="N20" s="16">
        <f>VLOOKUP(B20,'Data Nifty'!B$11:BN$113,18,0)</f>
        <v>13.8</v>
      </c>
      <c r="O20" s="64">
        <f>VLOOKUP(B20,'Data Nifty'!B$11:BN$113,22,0)</f>
        <v>-67875</v>
      </c>
      <c r="P20" s="18">
        <f>VLOOKUP(B20,'Data Nifty'!B$11:BN$113,23,0)</f>
        <v>260325</v>
      </c>
      <c r="Q20" s="17">
        <f>VLOOKUP(B20,'Data Nifty'!B$11:BN$113,21,0)</f>
        <v>1524</v>
      </c>
      <c r="R20" s="16" t="str">
        <f t="shared" si="5"/>
        <v>UP</v>
      </c>
      <c r="S20" s="20" t="str">
        <f t="shared" si="6"/>
        <v>DOWN</v>
      </c>
      <c r="T20" s="21" t="str">
        <f t="shared" si="7"/>
        <v>Short covering</v>
      </c>
      <c r="U20" s="2"/>
    </row>
    <row r="21" spans="1:21" x14ac:dyDescent="0.5">
      <c r="A21" s="56" t="str">
        <f t="shared" si="0"/>
        <v>CE10100</v>
      </c>
      <c r="B21" s="56" t="str">
        <f t="shared" si="1"/>
        <v>PE10100</v>
      </c>
      <c r="C21" s="2"/>
      <c r="D21" s="14" t="str">
        <f>IF(AND(J21&lt;0,I21&lt;0),"Long Liquidation",IF(AND(J21&lt;0,I21&gt;0),"Short Buildup",IF(AND(J21&gt;0,I21&gt;0),"Long Buildup",IF(AND(J21&gt;0,I21&lt;0),"Short covering"))))</f>
        <v>Long Buildup</v>
      </c>
      <c r="E21" s="15" t="str">
        <f>IF(I21&gt;0,"UP","DOWN")</f>
        <v>UP</v>
      </c>
      <c r="F21" s="16" t="str">
        <f>IF(J21&gt;0,"UP","DOWN")</f>
        <v>UP</v>
      </c>
      <c r="G21" s="17">
        <f>VLOOKUP(A21,'Data Nifty'!A$11:AZ$113,6,0)</f>
        <v>5366</v>
      </c>
      <c r="H21" s="18">
        <f>VLOOKUP(A21,'Data Nifty'!A$11:AZ$113,4,0)</f>
        <v>30150</v>
      </c>
      <c r="I21" s="64">
        <f>VLOOKUP(A21,'Data Nifty'!A$11:AZ$113,5,0)</f>
        <v>225</v>
      </c>
      <c r="J21" s="16" t="str">
        <f>VLOOKUP(A21,'Data Nifty'!A$11:AZ$113,9,0)</f>
        <v>-</v>
      </c>
      <c r="K21" s="16">
        <f>VLOOKUP(A21,'Data Nifty'!A$11:AZ$113,8,0)</f>
        <v>0.2</v>
      </c>
      <c r="L21" s="19">
        <f t="shared" si="8"/>
        <v>10100</v>
      </c>
      <c r="M21" s="16" t="str">
        <f>VLOOKUP(B21,'Data Nifty'!B$11:BN$113,19,0)</f>
        <v>-</v>
      </c>
      <c r="N21" s="16" t="str">
        <f>VLOOKUP(B21,'Data Nifty'!B$11:BN$113,18,0)</f>
        <v>-</v>
      </c>
      <c r="O21" s="64" t="str">
        <f>VLOOKUP(B21,'Data Nifty'!B$11:BN$113,22,0)</f>
        <v>-</v>
      </c>
      <c r="P21" s="18" t="str">
        <f>VLOOKUP(B21,'Data Nifty'!B$11:BN$113,23,0)</f>
        <v>-</v>
      </c>
      <c r="Q21" s="17" t="str">
        <f>VLOOKUP(B21,'Data Nifty'!B$11:BN$113,21,0)</f>
        <v>-</v>
      </c>
      <c r="R21" s="16" t="str">
        <f t="shared" si="5"/>
        <v>UP</v>
      </c>
      <c r="S21" s="20" t="str">
        <f t="shared" si="6"/>
        <v>UP</v>
      </c>
      <c r="T21" s="21" t="str">
        <f t="shared" si="7"/>
        <v>Long Buildup</v>
      </c>
      <c r="U21" s="2"/>
    </row>
    <row r="22" spans="1:21" x14ac:dyDescent="0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8" customHeight="1" x14ac:dyDescent="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8" customHeight="1" x14ac:dyDescent="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8" customHeight="1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39.75" customHeight="1" x14ac:dyDescent="0.6">
      <c r="A75" s="2"/>
      <c r="B75" s="2"/>
      <c r="C75" s="2"/>
      <c r="D75" s="2"/>
      <c r="E75" s="84" t="s">
        <v>0</v>
      </c>
      <c r="F75" s="84"/>
      <c r="G75" s="84"/>
      <c r="H75" s="84"/>
      <c r="I75" s="2"/>
      <c r="J75" s="2"/>
      <c r="K75" s="2"/>
      <c r="L75" s="2"/>
      <c r="M75" s="2"/>
      <c r="N75" s="3"/>
      <c r="O75" s="84" t="s">
        <v>1</v>
      </c>
      <c r="P75" s="84"/>
      <c r="Q75" s="84"/>
      <c r="R75" s="84"/>
      <c r="S75" s="2"/>
      <c r="T75" s="2"/>
      <c r="U75" s="2"/>
    </row>
    <row r="76" spans="1:21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2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2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2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2" x14ac:dyDescent="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2" x14ac:dyDescent="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2" x14ac:dyDescent="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2" x14ac:dyDescent="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2" x14ac:dyDescent="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x14ac:dyDescent="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2" x14ac:dyDescent="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2" ht="17.7" x14ac:dyDescent="0.55000000000000004">
      <c r="A91" s="2"/>
      <c r="B91" s="2"/>
      <c r="C91" s="2"/>
      <c r="D91" s="23"/>
      <c r="E91" s="23"/>
      <c r="F91" s="24"/>
      <c r="G91" s="24"/>
      <c r="H91" s="25"/>
      <c r="I91" s="24"/>
      <c r="J91" s="24"/>
      <c r="K91" s="26"/>
      <c r="L91" s="26"/>
      <c r="M91" s="27"/>
      <c r="N91" s="28"/>
      <c r="O91" s="29"/>
      <c r="P91" s="30"/>
      <c r="Q91" s="30"/>
      <c r="R91" s="30"/>
      <c r="S91" s="2"/>
      <c r="T91" s="2"/>
      <c r="U91" s="2"/>
    </row>
    <row r="92" spans="1:22" ht="17.7" x14ac:dyDescent="0.55000000000000004">
      <c r="A92" s="2"/>
      <c r="B92" s="2"/>
      <c r="C92" s="2"/>
      <c r="D92" s="23"/>
      <c r="E92" s="31" t="s">
        <v>21</v>
      </c>
      <c r="F92" s="32"/>
      <c r="G92" s="32"/>
      <c r="H92" s="33"/>
      <c r="I92" s="32"/>
      <c r="J92" s="32"/>
      <c r="K92" s="34"/>
      <c r="L92" s="34"/>
      <c r="M92" s="35" t="s">
        <v>22</v>
      </c>
      <c r="N92" s="36"/>
      <c r="O92" s="37"/>
      <c r="P92" s="38"/>
      <c r="Q92" s="38"/>
      <c r="R92" s="39"/>
      <c r="S92" s="2"/>
      <c r="T92" s="2"/>
      <c r="U92" s="2"/>
    </row>
    <row r="93" spans="1:22" ht="17.7" x14ac:dyDescent="0.55000000000000004">
      <c r="A93" s="2"/>
      <c r="B93" s="2"/>
      <c r="C93" s="2"/>
      <c r="D93" s="23"/>
      <c r="E93" s="40"/>
      <c r="F93" s="24"/>
      <c r="G93" s="24"/>
      <c r="H93" s="25"/>
      <c r="I93" s="24"/>
      <c r="J93" s="24"/>
      <c r="K93" s="26"/>
      <c r="L93" s="26"/>
      <c r="M93" s="41"/>
      <c r="N93" s="28"/>
      <c r="O93" s="29"/>
      <c r="P93" s="30"/>
      <c r="Q93" s="30"/>
      <c r="R93" s="30"/>
      <c r="S93" s="2"/>
      <c r="T93" s="2"/>
      <c r="U93" s="2"/>
    </row>
    <row r="94" spans="1:22" s="63" customFormat="1" x14ac:dyDescent="0.5">
      <c r="A94" s="58"/>
      <c r="B94" s="58"/>
      <c r="C94" s="58"/>
      <c r="D94" s="59"/>
      <c r="E94" s="60" t="s">
        <v>23</v>
      </c>
      <c r="F94" s="60">
        <f>L7</f>
        <v>8700</v>
      </c>
      <c r="G94" s="60">
        <f>L8</f>
        <v>8800</v>
      </c>
      <c r="H94" s="60">
        <f>L9</f>
        <v>8900</v>
      </c>
      <c r="I94" s="60">
        <f>L10</f>
        <v>9000</v>
      </c>
      <c r="J94" s="61">
        <f>L11</f>
        <v>9100</v>
      </c>
      <c r="K94" s="60">
        <f>L12</f>
        <v>9200</v>
      </c>
      <c r="L94" s="60">
        <f>L13</f>
        <v>9300</v>
      </c>
      <c r="M94" s="61">
        <f>L14</f>
        <v>9400</v>
      </c>
      <c r="N94" s="60">
        <f>L15</f>
        <v>9500</v>
      </c>
      <c r="O94" s="62">
        <f>L16</f>
        <v>9600</v>
      </c>
      <c r="P94" s="60">
        <f>L17</f>
        <v>9700</v>
      </c>
      <c r="Q94" s="61">
        <f>L18</f>
        <v>9800</v>
      </c>
      <c r="R94" s="60">
        <f>L19</f>
        <v>9900</v>
      </c>
      <c r="S94" s="62">
        <f>L20</f>
        <v>10000</v>
      </c>
      <c r="T94" s="83"/>
      <c r="U94" s="58"/>
      <c r="V94"/>
    </row>
    <row r="95" spans="1:22" ht="17.7" x14ac:dyDescent="0.55000000000000004">
      <c r="A95" s="2"/>
      <c r="B95" s="2"/>
      <c r="C95" s="2"/>
      <c r="D95" s="23"/>
      <c r="E95" s="42" t="s">
        <v>24</v>
      </c>
      <c r="F95" s="43" t="str">
        <f>IF(I7&lt;G7,"BUY","SELL")</f>
        <v>BUY</v>
      </c>
      <c r="G95" s="43" t="str">
        <f>IF(I8&lt;G8,"BUY","SELL")</f>
        <v>BUY</v>
      </c>
      <c r="H95" s="43" t="str">
        <f>IF(I9&lt;G9,"BUY","SELL")</f>
        <v>BUY</v>
      </c>
      <c r="I95" s="43" t="str">
        <f>IF(I10&lt;G10,"BUY","SELL")</f>
        <v>BUY</v>
      </c>
      <c r="J95" s="44" t="str">
        <f>IF(I11&lt;G11,"BUY","SELL")</f>
        <v>BUY</v>
      </c>
      <c r="K95" s="43" t="str">
        <f>IF(I12&lt;G12,"BUY","SELL")</f>
        <v>BUY</v>
      </c>
      <c r="L95" s="43" t="str">
        <f>IF(I13&lt;G13,"BUY","SELL")</f>
        <v>BUY</v>
      </c>
      <c r="M95" s="45" t="str">
        <f>IF(I14&lt;G14,"BUY","SELL")</f>
        <v>BUY</v>
      </c>
      <c r="N95" s="46" t="str">
        <f>IF(I15&lt;G15,"BUY","SELL")</f>
        <v>BUY</v>
      </c>
      <c r="O95" s="47" t="str">
        <f>IF(I16&lt;G16,"BUY","SELL")</f>
        <v>BUY</v>
      </c>
      <c r="P95" s="43" t="str">
        <f>IF(I17&lt;G17,"BUY","SELL")</f>
        <v>BUY</v>
      </c>
      <c r="Q95" s="45" t="str">
        <f>IF(I18&lt;G18,"BUY","SELL")</f>
        <v>BUY</v>
      </c>
      <c r="R95" s="46" t="str">
        <f>IF(I19&lt;G19,"BUY","SELL")</f>
        <v>BUY</v>
      </c>
      <c r="S95" s="47" t="str">
        <f>IF(I20&lt;G20,"BUY","SELL")</f>
        <v>BUY</v>
      </c>
      <c r="T95" s="83"/>
      <c r="U95" s="2"/>
    </row>
    <row r="96" spans="1:22" ht="17.7" x14ac:dyDescent="0.5">
      <c r="A96" s="2"/>
      <c r="B96" s="2"/>
      <c r="C96" s="2"/>
      <c r="D96" s="27"/>
      <c r="E96" s="49" t="s">
        <v>25</v>
      </c>
      <c r="F96" s="50" t="str">
        <f>IF(O7&lt;Q7,"BUY","SELL")</f>
        <v>BUY</v>
      </c>
      <c r="G96" s="50" t="str">
        <f>IF(O8&lt;Q8,"BUY","SELL")</f>
        <v>BUY</v>
      </c>
      <c r="H96" s="50" t="str">
        <f>IF(O9&lt;Q9,"BUY","SELL")</f>
        <v>BUY</v>
      </c>
      <c r="I96" s="50" t="str">
        <f>IF(O10&lt;Q10,"BUY","SELL")</f>
        <v>BUY</v>
      </c>
      <c r="J96" s="51" t="str">
        <f>IF(O11&lt;Q11,"BUY","SELL")</f>
        <v>BUY</v>
      </c>
      <c r="K96" s="50" t="str">
        <f>IF(O12&lt;Q12,"BUY","SELL")</f>
        <v>BUY</v>
      </c>
      <c r="L96" s="50" t="str">
        <f>IF(O13&lt;Q13,"BUY","SELL")</f>
        <v>BUY</v>
      </c>
      <c r="M96" s="52" t="str">
        <f>IF(O14&lt;Q14,"BUY","SELL")</f>
        <v>BUY</v>
      </c>
      <c r="N96" s="53" t="str">
        <f>IF(O15&lt;Q15,"BUY","SELL")</f>
        <v>BUY</v>
      </c>
      <c r="O96" s="54" t="str">
        <f>IF(O16&lt;Q16,"BUY","SELL")</f>
        <v>BUY</v>
      </c>
      <c r="P96" s="50" t="str">
        <f>IF(O17&lt;Q17,"BUY","SELL")</f>
        <v>BUY</v>
      </c>
      <c r="Q96" s="54" t="str">
        <f>IF(O18&lt;Q18,"BUY","SELL")</f>
        <v>BUY</v>
      </c>
      <c r="R96" s="53" t="str">
        <f>IF(O19&lt;Q19,"BUY","SELL")</f>
        <v>BUY</v>
      </c>
      <c r="S96" s="53" t="str">
        <f>IF(O20&lt;Q20,"BUY","SELL")</f>
        <v>BUY</v>
      </c>
      <c r="T96" s="55"/>
      <c r="U96" s="2"/>
    </row>
    <row r="97" spans="1:21" x14ac:dyDescent="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8"/>
      <c r="S97" s="2"/>
      <c r="T97" s="2"/>
      <c r="U97" s="2"/>
    </row>
    <row r="98" spans="1:21" x14ac:dyDescent="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</sheetData>
  <dataConsolidate function="max">
    <dataRefs count="1">
      <dataRef ref="H6:H20" sheet="MAIN OI"/>
    </dataRefs>
  </dataConsolidate>
  <mergeCells count="6">
    <mergeCell ref="T94:T95"/>
    <mergeCell ref="E75:H75"/>
    <mergeCell ref="Q1:S1"/>
    <mergeCell ref="D4:K4"/>
    <mergeCell ref="M4:T4"/>
    <mergeCell ref="O75:R75"/>
  </mergeCells>
  <conditionalFormatting sqref="T6:T21 D6:D21">
    <cfRule type="containsText" dxfId="33" priority="26" operator="containsText" text="Short Buildup">
      <formula>NOT(ISERROR(SEARCH("Short Buildup",D6)))</formula>
    </cfRule>
    <cfRule type="containsText" dxfId="32" priority="27" operator="containsText" text="Long Liquidation">
      <formula>NOT(ISERROR(SEARCH("Long Liquidation",D6)))</formula>
    </cfRule>
    <cfRule type="containsText" dxfId="31" priority="28" operator="containsText" text="Short covering">
      <formula>NOT(ISERROR(SEARCH("Short covering",D6)))</formula>
    </cfRule>
    <cfRule type="containsText" dxfId="30" priority="29" operator="containsText" text="Long Buildup">
      <formula>NOT(ISERROR(SEARCH("Long Buildup",D6)))</formula>
    </cfRule>
  </conditionalFormatting>
  <conditionalFormatting sqref="R6:S21 E6:F21">
    <cfRule type="containsText" dxfId="29" priority="25" operator="containsText" text="DOWN">
      <formula>NOT(ISERROR(SEARCH("DOWN",E6)))</formula>
    </cfRule>
  </conditionalFormatting>
  <conditionalFormatting sqref="R6:S21 E6:F21">
    <cfRule type="containsText" dxfId="28" priority="24" operator="containsText" text="UP">
      <formula>NOT(ISERROR(SEARCH("UP",E6)))</formula>
    </cfRule>
  </conditionalFormatting>
  <conditionalFormatting sqref="F95:S96">
    <cfRule type="containsText" dxfId="27" priority="1" operator="containsText" text="SELL">
      <formula>NOT(ISERROR(SEARCH("SELL",F95)))</formula>
    </cfRule>
    <cfRule type="containsText" dxfId="26" priority="19" operator="containsText" text="BUY">
      <formula>NOT(ISERROR(SEARCH("BUY",F95)))</formula>
    </cfRule>
  </conditionalFormatting>
  <conditionalFormatting sqref="J6:J21">
    <cfRule type="colorScale" priority="115">
      <colorScale>
        <cfvo type="min"/>
        <cfvo type="max"/>
        <color rgb="FFFFEF9C"/>
        <color rgb="FF63BE7B"/>
      </colorScale>
    </cfRule>
  </conditionalFormatting>
  <conditionalFormatting sqref="N6:N21">
    <cfRule type="colorScale" priority="116">
      <colorScale>
        <cfvo type="min"/>
        <cfvo type="max"/>
        <color rgb="FFFF7128"/>
        <color rgb="FFFFEF9C"/>
      </colorScale>
    </cfRule>
  </conditionalFormatting>
  <conditionalFormatting sqref="Q6:Q21">
    <cfRule type="dataBar" priority="117">
      <dataBar>
        <cfvo type="min"/>
        <cfvo type="max"/>
        <color rgb="FFFF555A"/>
      </dataBar>
    </cfRule>
  </conditionalFormatting>
  <conditionalFormatting sqref="G6:G21">
    <cfRule type="dataBar" priority="118">
      <dataBar>
        <cfvo type="min"/>
        <cfvo type="max"/>
        <color rgb="FFFF555A"/>
      </dataBar>
    </cfRule>
  </conditionalFormatting>
  <conditionalFormatting sqref="H6:H21">
    <cfRule type="top10" dxfId="25" priority="119" rank="1"/>
  </conditionalFormatting>
  <conditionalFormatting sqref="P6:P21">
    <cfRule type="top10" dxfId="24" priority="120" rank="1"/>
  </conditionalFormatting>
  <conditionalFormatting sqref="I6:I21 O6:O21">
    <cfRule type="cellIs" dxfId="23" priority="121" operator="equal">
      <formula>$H$165</formula>
    </cfRule>
  </conditionalFormatting>
  <conditionalFormatting sqref="O6:O21">
    <cfRule type="cellIs" dxfId="22" priority="123" operator="equal">
      <formula>$J$165</formula>
    </cfRule>
  </conditionalFormatting>
  <conditionalFormatting sqref="I6:I21">
    <cfRule type="top10" dxfId="21" priority="124" rank="1"/>
    <cfRule type="cellIs" dxfId="20" priority="125" operator="equal">
      <formula>$H$163</formula>
    </cfRule>
  </conditionalFormatting>
  <conditionalFormatting sqref="I6:I21 O6:O21">
    <cfRule type="cellIs" dxfId="19" priority="126" operator="equal">
      <formula>$F$158</formula>
    </cfRule>
  </conditionalFormatting>
  <conditionalFormatting sqref="O6:O21">
    <cfRule type="top10" dxfId="18" priority="128" rank="1"/>
    <cfRule type="cellIs" dxfId="17" priority="129" operator="equal">
      <formula>$H$163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topLeftCell="A37" workbookViewId="0">
      <selection activeCell="A56" sqref="A56"/>
    </sheetView>
  </sheetViews>
  <sheetFormatPr defaultRowHeight="14.35" x14ac:dyDescent="0.5"/>
  <cols>
    <col min="1" max="1" width="20.41015625" bestFit="1" customWidth="1"/>
    <col min="2" max="2" width="11.41015625" bestFit="1" customWidth="1"/>
    <col min="3" max="3" width="27.05859375" bestFit="1" customWidth="1"/>
    <col min="4" max="4" width="59.3515625" bestFit="1" customWidth="1"/>
    <col min="5" max="5" width="8.8203125" customWidth="1"/>
    <col min="6" max="6" width="8.703125" customWidth="1"/>
    <col min="7" max="7" width="6.76171875" customWidth="1"/>
    <col min="8" max="8" width="7.703125" customWidth="1"/>
    <col min="9" max="9" width="8" customWidth="1"/>
    <col min="10" max="10" width="6.234375" customWidth="1"/>
    <col min="11" max="12" width="7.703125" customWidth="1"/>
    <col min="13" max="13" width="5.234375" customWidth="1"/>
    <col min="14" max="14" width="9.64453125" bestFit="1" customWidth="1"/>
    <col min="15" max="15" width="5.234375" customWidth="1"/>
    <col min="16" max="17" width="7.703125" customWidth="1"/>
    <col min="18" max="18" width="5.234375" customWidth="1"/>
    <col min="19" max="19" width="8" customWidth="1"/>
    <col min="20" max="20" width="7.703125" customWidth="1"/>
    <col min="21" max="21" width="6.76171875" customWidth="1"/>
    <col min="22" max="22" width="8.703125" customWidth="1"/>
    <col min="23" max="23" width="8.8203125" customWidth="1"/>
    <col min="24" max="24" width="8.703125" customWidth="1"/>
    <col min="25" max="25" width="5.1171875" customWidth="1"/>
  </cols>
  <sheetData>
    <row r="1" spans="1:25" x14ac:dyDescent="0.5">
      <c r="A1" s="75" t="str">
        <f>MID(D1,45,12)</f>
        <v>May 24, 2017</v>
      </c>
      <c r="B1" s="77"/>
      <c r="C1" t="s">
        <v>15</v>
      </c>
      <c r="D1" t="s">
        <v>83</v>
      </c>
    </row>
    <row r="2" spans="1:25" x14ac:dyDescent="0.5">
      <c r="A2" s="75" t="str">
        <f>"Last Update @  "&amp;MID(D1,58,8)</f>
        <v>Last Update @  15:30:29</v>
      </c>
      <c r="B2" s="77"/>
      <c r="C2" t="s">
        <v>49</v>
      </c>
    </row>
    <row r="3" spans="1:25" x14ac:dyDescent="0.5">
      <c r="A3" s="76" t="str">
        <f>MID(D1,19,9)</f>
        <v>BANKNIFTY</v>
      </c>
      <c r="B3" s="77"/>
      <c r="C3" t="s">
        <v>50</v>
      </c>
    </row>
    <row r="4" spans="1:25" x14ac:dyDescent="0.5">
      <c r="A4" s="76">
        <f>VALUE(MID(D1,29,8))</f>
        <v>22536.3</v>
      </c>
      <c r="B4" s="77"/>
      <c r="C4" t="s">
        <v>51</v>
      </c>
    </row>
    <row r="5" spans="1:25" x14ac:dyDescent="0.5">
      <c r="A5" s="76">
        <f>ROUND(A4,-2)</f>
        <v>22500</v>
      </c>
      <c r="B5" s="77"/>
      <c r="C5" t="s">
        <v>52</v>
      </c>
    </row>
    <row r="6" spans="1:25" x14ac:dyDescent="0.5">
      <c r="A6" t="str">
        <f>"CE"&amp;N6</f>
        <v>CE</v>
      </c>
      <c r="B6" t="str">
        <f>"PE"&amp;N6</f>
        <v>PE</v>
      </c>
    </row>
    <row r="7" spans="1:25" x14ac:dyDescent="0.5">
      <c r="A7" t="str">
        <f t="shared" ref="A7:A65" si="0">"CE"&amp;N7</f>
        <v>CE</v>
      </c>
      <c r="B7" t="str">
        <f t="shared" ref="B7:B65" si="1">"PE"&amp;N7</f>
        <v>PE</v>
      </c>
    </row>
    <row r="8" spans="1:25" x14ac:dyDescent="0.5">
      <c r="A8" t="str">
        <f t="shared" si="0"/>
        <v>CE</v>
      </c>
      <c r="B8" t="str">
        <f t="shared" si="1"/>
        <v>PE</v>
      </c>
      <c r="C8" t="s">
        <v>0</v>
      </c>
      <c r="O8" t="s">
        <v>1</v>
      </c>
    </row>
    <row r="9" spans="1:25" x14ac:dyDescent="0.5">
      <c r="A9" t="str">
        <f t="shared" si="0"/>
        <v>CEStrike Price</v>
      </c>
      <c r="B9" t="str">
        <f t="shared" si="1"/>
        <v>PEStrike Price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9</v>
      </c>
      <c r="L9" t="s">
        <v>12</v>
      </c>
      <c r="M9" t="s">
        <v>12</v>
      </c>
      <c r="N9" t="s">
        <v>13</v>
      </c>
      <c r="O9" t="s">
        <v>9</v>
      </c>
      <c r="P9" t="s">
        <v>9</v>
      </c>
      <c r="Q9" t="s">
        <v>12</v>
      </c>
      <c r="R9" t="s">
        <v>12</v>
      </c>
      <c r="S9" t="s">
        <v>8</v>
      </c>
      <c r="T9" t="s">
        <v>7</v>
      </c>
      <c r="U9" t="s">
        <v>6</v>
      </c>
      <c r="V9" t="s">
        <v>5</v>
      </c>
      <c r="W9" t="s">
        <v>4</v>
      </c>
      <c r="X9" t="s">
        <v>3</v>
      </c>
      <c r="Y9" t="s">
        <v>2</v>
      </c>
    </row>
    <row r="10" spans="1:25" x14ac:dyDescent="0.5">
      <c r="A10" t="str">
        <f t="shared" si="0"/>
        <v>CE</v>
      </c>
      <c r="B10" t="str">
        <f t="shared" si="1"/>
        <v>PE</v>
      </c>
      <c r="J10" t="s">
        <v>10</v>
      </c>
      <c r="K10" t="s">
        <v>11</v>
      </c>
      <c r="L10" t="s">
        <v>11</v>
      </c>
      <c r="M10" t="s">
        <v>10</v>
      </c>
      <c r="O10" t="s">
        <v>10</v>
      </c>
      <c r="P10" t="s">
        <v>11</v>
      </c>
      <c r="Q10" t="s">
        <v>11</v>
      </c>
      <c r="R10" t="s">
        <v>10</v>
      </c>
    </row>
    <row r="11" spans="1:25" x14ac:dyDescent="0.5">
      <c r="A11" t="str">
        <f t="shared" si="0"/>
        <v>CE18900</v>
      </c>
      <c r="B11" t="str">
        <f t="shared" si="1"/>
        <v>PE18900</v>
      </c>
      <c r="D11" s="1">
        <v>2560</v>
      </c>
      <c r="E11" s="1">
        <v>-1440</v>
      </c>
      <c r="F11">
        <v>38</v>
      </c>
      <c r="G11">
        <v>195.49</v>
      </c>
      <c r="H11" s="81">
        <v>3678</v>
      </c>
      <c r="I11">
        <v>38.15</v>
      </c>
      <c r="J11" s="1">
        <v>40</v>
      </c>
      <c r="K11" s="81">
        <v>3598.45</v>
      </c>
      <c r="L11" s="81">
        <v>3639.15</v>
      </c>
      <c r="M11">
        <v>160</v>
      </c>
      <c r="N11">
        <v>18900</v>
      </c>
      <c r="O11" s="1">
        <v>400</v>
      </c>
      <c r="P11">
        <v>0.6</v>
      </c>
      <c r="Q11">
        <v>1.4</v>
      </c>
      <c r="R11" s="1">
        <v>800</v>
      </c>
      <c r="S11">
        <v>1</v>
      </c>
      <c r="T11">
        <v>1.2</v>
      </c>
      <c r="U11">
        <v>122.56</v>
      </c>
      <c r="V11">
        <v>49</v>
      </c>
      <c r="W11">
        <v>-560</v>
      </c>
      <c r="X11" s="1">
        <v>3080</v>
      </c>
    </row>
    <row r="12" spans="1:25" x14ac:dyDescent="0.5">
      <c r="A12" t="str">
        <f t="shared" si="0"/>
        <v>CE19000</v>
      </c>
      <c r="B12" t="str">
        <f t="shared" si="1"/>
        <v>PE19000</v>
      </c>
      <c r="D12" s="1">
        <v>69280</v>
      </c>
      <c r="E12" s="1">
        <v>-18000</v>
      </c>
      <c r="F12">
        <v>464</v>
      </c>
      <c r="G12" t="s">
        <v>14</v>
      </c>
      <c r="H12" s="81">
        <v>3527.25</v>
      </c>
      <c r="I12">
        <v>-13.35</v>
      </c>
      <c r="J12" s="1">
        <v>40</v>
      </c>
      <c r="K12" s="81">
        <v>3507.05</v>
      </c>
      <c r="L12" s="81">
        <v>3536.15</v>
      </c>
      <c r="M12">
        <v>120</v>
      </c>
      <c r="N12">
        <v>19000</v>
      </c>
      <c r="O12" s="1">
        <v>400</v>
      </c>
      <c r="P12">
        <v>0.35</v>
      </c>
      <c r="Q12">
        <v>0.85</v>
      </c>
      <c r="R12" s="1">
        <v>240</v>
      </c>
      <c r="S12">
        <v>0.4</v>
      </c>
      <c r="T12">
        <v>1</v>
      </c>
      <c r="U12">
        <v>117.1</v>
      </c>
      <c r="V12" s="1">
        <v>8034</v>
      </c>
      <c r="W12" s="1">
        <v>-3080</v>
      </c>
      <c r="X12" s="1">
        <v>46080</v>
      </c>
    </row>
    <row r="13" spans="1:25" x14ac:dyDescent="0.5">
      <c r="A13" t="str">
        <f t="shared" si="0"/>
        <v>CE19100</v>
      </c>
      <c r="B13" t="str">
        <f t="shared" si="1"/>
        <v>PE19100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s="1">
        <v>40</v>
      </c>
      <c r="K13" s="81">
        <v>3301.05</v>
      </c>
      <c r="L13" s="81">
        <v>3583.15</v>
      </c>
      <c r="M13">
        <v>40</v>
      </c>
      <c r="N13">
        <v>19100</v>
      </c>
      <c r="O13" s="1" t="s">
        <v>14</v>
      </c>
      <c r="P13" t="s">
        <v>14</v>
      </c>
      <c r="Q13">
        <v>2.4</v>
      </c>
      <c r="R13" s="1">
        <v>800</v>
      </c>
      <c r="S13" t="s">
        <v>14</v>
      </c>
      <c r="T13" t="s">
        <v>14</v>
      </c>
      <c r="U13" t="s">
        <v>14</v>
      </c>
      <c r="V13" t="s">
        <v>14</v>
      </c>
      <c r="W13" s="1" t="s">
        <v>14</v>
      </c>
      <c r="X13" s="1" t="s">
        <v>14</v>
      </c>
    </row>
    <row r="14" spans="1:25" x14ac:dyDescent="0.5">
      <c r="A14" t="str">
        <f t="shared" si="0"/>
        <v>CE19200</v>
      </c>
      <c r="B14" t="str">
        <f t="shared" si="1"/>
        <v>PE19200</v>
      </c>
      <c r="D14" s="1">
        <v>3360</v>
      </c>
      <c r="E14" s="1">
        <v>-5000</v>
      </c>
      <c r="F14">
        <v>125</v>
      </c>
      <c r="G14" t="s">
        <v>14</v>
      </c>
      <c r="H14" s="81">
        <v>3275</v>
      </c>
      <c r="I14">
        <v>-45</v>
      </c>
      <c r="J14" s="1">
        <v>1000</v>
      </c>
      <c r="K14" s="81">
        <v>2856.5</v>
      </c>
      <c r="L14" s="81">
        <v>3337.95</v>
      </c>
      <c r="M14">
        <v>40</v>
      </c>
      <c r="N14">
        <v>19200</v>
      </c>
      <c r="O14" s="1">
        <v>800</v>
      </c>
      <c r="P14">
        <v>0.4</v>
      </c>
      <c r="Q14">
        <v>1</v>
      </c>
      <c r="R14" s="1">
        <v>3200</v>
      </c>
      <c r="S14">
        <v>-0.6</v>
      </c>
      <c r="T14">
        <v>1.9</v>
      </c>
      <c r="U14">
        <v>118.08</v>
      </c>
      <c r="V14">
        <v>180</v>
      </c>
      <c r="W14">
        <v>-960</v>
      </c>
      <c r="X14" s="1">
        <v>4840</v>
      </c>
    </row>
    <row r="15" spans="1:25" x14ac:dyDescent="0.5">
      <c r="A15" t="str">
        <f t="shared" si="0"/>
        <v>CE19300</v>
      </c>
      <c r="B15" t="str">
        <f t="shared" si="1"/>
        <v>PE19300</v>
      </c>
      <c r="D15" t="s">
        <v>14</v>
      </c>
      <c r="E15" t="s">
        <v>14</v>
      </c>
      <c r="F15" t="s">
        <v>14</v>
      </c>
      <c r="G15" t="s">
        <v>14</v>
      </c>
      <c r="H15" s="81" t="s">
        <v>14</v>
      </c>
      <c r="I15" t="s">
        <v>14</v>
      </c>
      <c r="J15" s="1">
        <v>40</v>
      </c>
      <c r="K15" s="81">
        <v>3163.9</v>
      </c>
      <c r="L15" s="81">
        <v>3338.95</v>
      </c>
      <c r="M15">
        <v>40</v>
      </c>
      <c r="N15">
        <v>19300</v>
      </c>
      <c r="O15" s="1" t="s">
        <v>14</v>
      </c>
      <c r="P15" t="s">
        <v>14</v>
      </c>
      <c r="Q15">
        <v>2.8</v>
      </c>
      <c r="R15" s="1">
        <v>800</v>
      </c>
      <c r="S15" t="s">
        <v>14</v>
      </c>
      <c r="T15" t="s">
        <v>14</v>
      </c>
      <c r="U15" t="s">
        <v>14</v>
      </c>
      <c r="V15" s="1" t="s">
        <v>14</v>
      </c>
      <c r="W15" s="1" t="s">
        <v>14</v>
      </c>
      <c r="X15" s="1" t="s">
        <v>14</v>
      </c>
    </row>
    <row r="16" spans="1:25" x14ac:dyDescent="0.5">
      <c r="A16" t="str">
        <f t="shared" si="0"/>
        <v>CE19400</v>
      </c>
      <c r="B16" t="str">
        <f t="shared" si="1"/>
        <v>PE19400</v>
      </c>
      <c r="D16" s="1">
        <v>2280</v>
      </c>
      <c r="E16" t="s">
        <v>14</v>
      </c>
      <c r="F16" t="s">
        <v>14</v>
      </c>
      <c r="G16" t="s">
        <v>14</v>
      </c>
      <c r="H16" s="81">
        <v>2923.3</v>
      </c>
      <c r="I16" t="s">
        <v>14</v>
      </c>
      <c r="J16">
        <v>40</v>
      </c>
      <c r="K16" s="81">
        <v>2902.85</v>
      </c>
      <c r="L16" s="81">
        <v>3138.9</v>
      </c>
      <c r="M16">
        <v>40</v>
      </c>
      <c r="N16">
        <v>19400</v>
      </c>
      <c r="O16" s="1" t="s">
        <v>14</v>
      </c>
      <c r="P16" t="s">
        <v>14</v>
      </c>
      <c r="Q16">
        <v>1.75</v>
      </c>
      <c r="R16" s="1">
        <v>1240</v>
      </c>
      <c r="S16" t="s">
        <v>14</v>
      </c>
      <c r="T16">
        <v>2.1</v>
      </c>
      <c r="U16" t="s">
        <v>14</v>
      </c>
      <c r="V16" s="1" t="s">
        <v>14</v>
      </c>
      <c r="W16" s="1" t="s">
        <v>14</v>
      </c>
      <c r="X16" s="1">
        <v>2240</v>
      </c>
    </row>
    <row r="17" spans="1:24" x14ac:dyDescent="0.5">
      <c r="A17" t="str">
        <f t="shared" si="0"/>
        <v>CE19500</v>
      </c>
      <c r="B17" t="str">
        <f t="shared" si="1"/>
        <v>PE19500</v>
      </c>
      <c r="D17" s="1">
        <v>11040</v>
      </c>
      <c r="E17" s="1">
        <v>-4120</v>
      </c>
      <c r="F17">
        <v>113</v>
      </c>
      <c r="G17" t="s">
        <v>14</v>
      </c>
      <c r="H17" s="81">
        <v>3000</v>
      </c>
      <c r="I17">
        <v>-13.5</v>
      </c>
      <c r="J17" s="1">
        <v>40</v>
      </c>
      <c r="K17" s="81">
        <v>3010.45</v>
      </c>
      <c r="L17" s="81">
        <v>3039.15</v>
      </c>
      <c r="M17">
        <v>120</v>
      </c>
      <c r="N17">
        <v>19500</v>
      </c>
      <c r="O17" s="1">
        <v>120</v>
      </c>
      <c r="P17">
        <v>0.45</v>
      </c>
      <c r="Q17">
        <v>0.95</v>
      </c>
      <c r="R17">
        <v>520</v>
      </c>
      <c r="S17">
        <v>0.4</v>
      </c>
      <c r="T17">
        <v>1</v>
      </c>
      <c r="U17">
        <v>100.79</v>
      </c>
      <c r="V17" s="1">
        <v>117</v>
      </c>
      <c r="W17" s="1">
        <v>-2560</v>
      </c>
      <c r="X17" s="1">
        <v>15800</v>
      </c>
    </row>
    <row r="18" spans="1:24" x14ac:dyDescent="0.5">
      <c r="A18" t="str">
        <f t="shared" si="0"/>
        <v>CE19600</v>
      </c>
      <c r="B18" t="str">
        <f t="shared" si="1"/>
        <v>PE19600</v>
      </c>
      <c r="D18" t="s">
        <v>14</v>
      </c>
      <c r="E18" t="s">
        <v>14</v>
      </c>
      <c r="F18" t="s">
        <v>14</v>
      </c>
      <c r="G18" t="s">
        <v>14</v>
      </c>
      <c r="H18" t="s">
        <v>14</v>
      </c>
      <c r="I18" t="s">
        <v>14</v>
      </c>
      <c r="J18" s="1">
        <v>40</v>
      </c>
      <c r="K18" s="81">
        <v>2760.9</v>
      </c>
      <c r="L18" s="81">
        <v>3026.55</v>
      </c>
      <c r="M18">
        <v>40</v>
      </c>
      <c r="N18">
        <v>19600</v>
      </c>
      <c r="O18" s="1" t="s">
        <v>14</v>
      </c>
      <c r="P18" t="s">
        <v>14</v>
      </c>
      <c r="Q18">
        <v>2.7</v>
      </c>
      <c r="R18" s="1">
        <v>800</v>
      </c>
      <c r="S18" t="s">
        <v>14</v>
      </c>
      <c r="T18" t="s">
        <v>14</v>
      </c>
      <c r="U18" t="s">
        <v>14</v>
      </c>
      <c r="V18" s="1" t="s">
        <v>14</v>
      </c>
      <c r="W18" s="1" t="s">
        <v>14</v>
      </c>
      <c r="X18" s="1" t="s">
        <v>14</v>
      </c>
    </row>
    <row r="19" spans="1:24" x14ac:dyDescent="0.5">
      <c r="A19" t="str">
        <f t="shared" si="0"/>
        <v>CE19700</v>
      </c>
      <c r="B19" t="str">
        <f t="shared" si="1"/>
        <v>PE19700</v>
      </c>
      <c r="D19" t="s">
        <v>14</v>
      </c>
      <c r="E19" t="s">
        <v>14</v>
      </c>
      <c r="F19" t="s">
        <v>14</v>
      </c>
      <c r="G19" t="s">
        <v>14</v>
      </c>
      <c r="H19" t="s">
        <v>14</v>
      </c>
      <c r="I19" t="s">
        <v>14</v>
      </c>
      <c r="J19" s="1">
        <v>40</v>
      </c>
      <c r="K19" s="81">
        <v>2669.3</v>
      </c>
      <c r="L19" s="81">
        <v>2962</v>
      </c>
      <c r="M19">
        <v>40</v>
      </c>
      <c r="N19">
        <v>19700</v>
      </c>
      <c r="O19" s="1" t="s">
        <v>14</v>
      </c>
      <c r="P19" t="s">
        <v>14</v>
      </c>
      <c r="Q19">
        <v>2.7</v>
      </c>
      <c r="R19" s="1">
        <v>800</v>
      </c>
      <c r="S19" t="s">
        <v>14</v>
      </c>
      <c r="T19" t="s">
        <v>14</v>
      </c>
      <c r="U19" t="s">
        <v>14</v>
      </c>
      <c r="V19" s="1" t="s">
        <v>14</v>
      </c>
      <c r="W19" s="1" t="s">
        <v>14</v>
      </c>
      <c r="X19" s="1" t="s">
        <v>14</v>
      </c>
    </row>
    <row r="20" spans="1:24" x14ac:dyDescent="0.5">
      <c r="A20" t="str">
        <f t="shared" si="0"/>
        <v>CE19800</v>
      </c>
      <c r="B20" t="str">
        <f t="shared" si="1"/>
        <v>PE19800</v>
      </c>
      <c r="D20">
        <v>40</v>
      </c>
      <c r="E20" t="s">
        <v>14</v>
      </c>
      <c r="F20" t="s">
        <v>14</v>
      </c>
      <c r="G20" t="s">
        <v>14</v>
      </c>
      <c r="H20" s="81">
        <v>2410</v>
      </c>
      <c r="I20" t="s">
        <v>14</v>
      </c>
      <c r="J20" s="1">
        <v>40</v>
      </c>
      <c r="K20" s="81">
        <v>2501.9</v>
      </c>
      <c r="L20" s="81">
        <v>2850.2</v>
      </c>
      <c r="M20">
        <v>40</v>
      </c>
      <c r="N20">
        <v>19800</v>
      </c>
      <c r="O20" s="1" t="s">
        <v>14</v>
      </c>
      <c r="P20" t="s">
        <v>14</v>
      </c>
      <c r="Q20">
        <v>2.8</v>
      </c>
      <c r="R20" s="1">
        <v>800</v>
      </c>
      <c r="S20" t="s">
        <v>14</v>
      </c>
      <c r="T20">
        <v>3</v>
      </c>
      <c r="U20" t="s">
        <v>14</v>
      </c>
      <c r="V20" s="1" t="s">
        <v>14</v>
      </c>
      <c r="W20" s="1" t="s">
        <v>14</v>
      </c>
      <c r="X20" s="1">
        <v>40</v>
      </c>
    </row>
    <row r="21" spans="1:24" x14ac:dyDescent="0.5">
      <c r="A21" t="str">
        <f t="shared" si="0"/>
        <v>CE19900</v>
      </c>
      <c r="B21" t="str">
        <f t="shared" si="1"/>
        <v>PE19900</v>
      </c>
      <c r="D21" t="s">
        <v>14</v>
      </c>
      <c r="E21" t="s">
        <v>14</v>
      </c>
      <c r="F21" t="s">
        <v>14</v>
      </c>
      <c r="G21" t="s">
        <v>14</v>
      </c>
      <c r="H21" t="s">
        <v>14</v>
      </c>
      <c r="I21" s="81" t="s">
        <v>14</v>
      </c>
      <c r="J21">
        <v>40</v>
      </c>
      <c r="K21" s="81">
        <v>2546.25</v>
      </c>
      <c r="L21" s="81">
        <v>2781.95</v>
      </c>
      <c r="M21">
        <v>40</v>
      </c>
      <c r="N21">
        <v>19900</v>
      </c>
      <c r="O21" s="1" t="s">
        <v>14</v>
      </c>
      <c r="P21" t="s">
        <v>14</v>
      </c>
      <c r="Q21">
        <v>2.7</v>
      </c>
      <c r="R21" s="1">
        <v>800</v>
      </c>
      <c r="S21" t="s">
        <v>14</v>
      </c>
      <c r="T21" t="s">
        <v>14</v>
      </c>
      <c r="U21" t="s">
        <v>14</v>
      </c>
      <c r="V21" s="1" t="s">
        <v>14</v>
      </c>
      <c r="W21" s="1" t="s">
        <v>14</v>
      </c>
      <c r="X21" s="1" t="s">
        <v>14</v>
      </c>
    </row>
    <row r="22" spans="1:24" x14ac:dyDescent="0.5">
      <c r="A22" t="str">
        <f t="shared" si="0"/>
        <v>CE20000</v>
      </c>
      <c r="B22" t="str">
        <f t="shared" si="1"/>
        <v>PE20000</v>
      </c>
      <c r="D22" s="1">
        <v>18960</v>
      </c>
      <c r="E22" s="1">
        <v>-6400</v>
      </c>
      <c r="F22">
        <v>188</v>
      </c>
      <c r="G22" t="s">
        <v>14</v>
      </c>
      <c r="H22" s="81">
        <v>2525</v>
      </c>
      <c r="I22">
        <v>-2.7</v>
      </c>
      <c r="J22" s="1">
        <v>40</v>
      </c>
      <c r="K22" s="81">
        <v>2512.4</v>
      </c>
      <c r="L22" s="81">
        <v>2529.0500000000002</v>
      </c>
      <c r="M22">
        <v>120</v>
      </c>
      <c r="N22">
        <v>20000</v>
      </c>
      <c r="O22" s="1">
        <v>40</v>
      </c>
      <c r="P22">
        <v>0.5</v>
      </c>
      <c r="Q22">
        <v>0.9</v>
      </c>
      <c r="R22" s="1">
        <v>760</v>
      </c>
      <c r="S22">
        <v>-0.9</v>
      </c>
      <c r="T22">
        <v>0.9</v>
      </c>
      <c r="U22">
        <v>83.81</v>
      </c>
      <c r="V22" s="1">
        <v>436</v>
      </c>
      <c r="W22" s="1">
        <v>-2080</v>
      </c>
      <c r="X22" s="1">
        <v>49560</v>
      </c>
    </row>
    <row r="23" spans="1:24" x14ac:dyDescent="0.5">
      <c r="A23" t="str">
        <f t="shared" si="0"/>
        <v>CE20100</v>
      </c>
      <c r="B23" t="str">
        <f t="shared" si="1"/>
        <v>PE20100</v>
      </c>
      <c r="D23" s="1" t="s">
        <v>14</v>
      </c>
      <c r="E23" s="1" t="s">
        <v>14</v>
      </c>
      <c r="F23" t="s">
        <v>14</v>
      </c>
      <c r="G23" t="s">
        <v>14</v>
      </c>
      <c r="H23" t="s">
        <v>14</v>
      </c>
      <c r="I23" s="81" t="s">
        <v>14</v>
      </c>
      <c r="J23" s="1">
        <v>200</v>
      </c>
      <c r="K23" s="81">
        <v>2286.1999999999998</v>
      </c>
      <c r="L23" s="81">
        <v>2604.8000000000002</v>
      </c>
      <c r="M23">
        <v>200</v>
      </c>
      <c r="N23">
        <v>20100</v>
      </c>
      <c r="O23" s="1">
        <v>600</v>
      </c>
      <c r="P23">
        <v>0.2</v>
      </c>
      <c r="Q23">
        <v>2.35</v>
      </c>
      <c r="R23">
        <v>800</v>
      </c>
      <c r="S23" t="s">
        <v>14</v>
      </c>
      <c r="T23" t="s">
        <v>14</v>
      </c>
      <c r="U23" t="s">
        <v>14</v>
      </c>
      <c r="V23" s="1" t="s">
        <v>14</v>
      </c>
      <c r="W23" s="1" t="s">
        <v>14</v>
      </c>
      <c r="X23" s="1" t="s">
        <v>14</v>
      </c>
    </row>
    <row r="24" spans="1:24" x14ac:dyDescent="0.5">
      <c r="A24" t="str">
        <f t="shared" si="0"/>
        <v>CE20200</v>
      </c>
      <c r="B24" t="str">
        <f t="shared" si="1"/>
        <v>PE20200</v>
      </c>
      <c r="D24" s="1">
        <v>80</v>
      </c>
      <c r="E24" s="1">
        <v>-1000</v>
      </c>
      <c r="F24">
        <v>25</v>
      </c>
      <c r="G24" t="s">
        <v>14</v>
      </c>
      <c r="H24" s="81">
        <v>2325</v>
      </c>
      <c r="I24">
        <v>-280.5</v>
      </c>
      <c r="J24" s="1">
        <v>200</v>
      </c>
      <c r="K24" s="81">
        <v>2227.35</v>
      </c>
      <c r="L24" s="81">
        <v>2465.15</v>
      </c>
      <c r="M24">
        <v>200</v>
      </c>
      <c r="N24">
        <v>20200</v>
      </c>
      <c r="O24" s="1">
        <v>760</v>
      </c>
      <c r="P24">
        <v>0.2</v>
      </c>
      <c r="Q24">
        <v>1.1000000000000001</v>
      </c>
      <c r="R24" s="1">
        <v>2400</v>
      </c>
      <c r="S24">
        <v>1.05</v>
      </c>
      <c r="T24">
        <v>1.2</v>
      </c>
      <c r="U24">
        <v>79.819999999999993</v>
      </c>
      <c r="V24" s="1">
        <v>55</v>
      </c>
      <c r="W24" s="1">
        <v>-80</v>
      </c>
      <c r="X24" s="1">
        <v>1000</v>
      </c>
    </row>
    <row r="25" spans="1:24" x14ac:dyDescent="0.5">
      <c r="A25" t="str">
        <f t="shared" si="0"/>
        <v>CE20300</v>
      </c>
      <c r="B25" t="str">
        <f t="shared" si="1"/>
        <v>PE20300</v>
      </c>
      <c r="D25" s="1">
        <v>280</v>
      </c>
      <c r="E25" s="1">
        <v>-40</v>
      </c>
      <c r="F25" s="1">
        <v>1</v>
      </c>
      <c r="G25">
        <v>142.66999999999999</v>
      </c>
      <c r="H25" s="81">
        <v>2300</v>
      </c>
      <c r="I25">
        <v>80</v>
      </c>
      <c r="J25">
        <v>200</v>
      </c>
      <c r="K25" s="81">
        <v>2085.6999999999998</v>
      </c>
      <c r="L25" s="81">
        <v>2369.5</v>
      </c>
      <c r="M25">
        <v>200</v>
      </c>
      <c r="N25">
        <v>20300</v>
      </c>
      <c r="O25">
        <v>120</v>
      </c>
      <c r="P25">
        <v>0.2</v>
      </c>
      <c r="Q25">
        <v>1.75</v>
      </c>
      <c r="R25" s="1">
        <v>2280</v>
      </c>
      <c r="S25">
        <v>-1.1000000000000001</v>
      </c>
      <c r="T25">
        <v>1.75</v>
      </c>
      <c r="U25">
        <v>79.84</v>
      </c>
      <c r="V25" s="1">
        <v>4</v>
      </c>
      <c r="W25" s="1" t="s">
        <v>14</v>
      </c>
      <c r="X25" s="1">
        <v>560</v>
      </c>
    </row>
    <row r="26" spans="1:24" x14ac:dyDescent="0.5">
      <c r="A26" t="str">
        <f t="shared" si="0"/>
        <v>CE20400</v>
      </c>
      <c r="B26" t="str">
        <f t="shared" si="1"/>
        <v>PE20400</v>
      </c>
      <c r="D26" s="1" t="s">
        <v>14</v>
      </c>
      <c r="E26" s="1" t="s">
        <v>14</v>
      </c>
      <c r="F26" s="1" t="s">
        <v>14</v>
      </c>
      <c r="G26" t="s">
        <v>14</v>
      </c>
      <c r="H26" t="s">
        <v>14</v>
      </c>
      <c r="I26" t="s">
        <v>14</v>
      </c>
      <c r="J26" s="1">
        <v>200</v>
      </c>
      <c r="K26" s="81">
        <v>1996.45</v>
      </c>
      <c r="L26" s="81">
        <v>2193.6999999999998</v>
      </c>
      <c r="M26">
        <v>200</v>
      </c>
      <c r="N26">
        <v>20400</v>
      </c>
      <c r="O26" s="1">
        <v>200</v>
      </c>
      <c r="P26">
        <v>0.2</v>
      </c>
      <c r="Q26">
        <v>2.8</v>
      </c>
      <c r="R26" s="1">
        <v>800</v>
      </c>
      <c r="S26" t="s">
        <v>14</v>
      </c>
      <c r="T26" t="s">
        <v>14</v>
      </c>
      <c r="U26" t="s">
        <v>14</v>
      </c>
      <c r="V26" s="1" t="s">
        <v>14</v>
      </c>
      <c r="W26" s="1" t="s">
        <v>14</v>
      </c>
      <c r="X26" s="1" t="s">
        <v>14</v>
      </c>
    </row>
    <row r="27" spans="1:24" x14ac:dyDescent="0.5">
      <c r="A27" t="str">
        <f t="shared" si="0"/>
        <v>CE20500</v>
      </c>
      <c r="B27" t="str">
        <f t="shared" si="1"/>
        <v>PE20500</v>
      </c>
      <c r="D27" s="1">
        <v>15920</v>
      </c>
      <c r="E27" s="1">
        <v>-4560</v>
      </c>
      <c r="F27" s="1">
        <v>123</v>
      </c>
      <c r="G27" t="s">
        <v>14</v>
      </c>
      <c r="H27" s="81">
        <v>2022.4</v>
      </c>
      <c r="I27">
        <v>-13.65</v>
      </c>
      <c r="J27">
        <v>80</v>
      </c>
      <c r="K27" s="81">
        <v>2022.3</v>
      </c>
      <c r="L27" s="81">
        <v>2029.6</v>
      </c>
      <c r="M27">
        <v>120</v>
      </c>
      <c r="N27">
        <v>20500</v>
      </c>
      <c r="O27" s="1">
        <v>800</v>
      </c>
      <c r="P27">
        <v>0.6</v>
      </c>
      <c r="Q27">
        <v>1.25</v>
      </c>
      <c r="R27" s="1">
        <v>1200</v>
      </c>
      <c r="S27">
        <v>-1.75</v>
      </c>
      <c r="T27">
        <v>0.65</v>
      </c>
      <c r="U27">
        <v>65.81</v>
      </c>
      <c r="V27" s="1">
        <v>1504</v>
      </c>
      <c r="W27" s="1">
        <v>-6880</v>
      </c>
      <c r="X27" s="1">
        <v>91480</v>
      </c>
    </row>
    <row r="28" spans="1:24" x14ac:dyDescent="0.5">
      <c r="A28" t="str">
        <f t="shared" si="0"/>
        <v>CE20600</v>
      </c>
      <c r="B28" t="str">
        <f t="shared" si="1"/>
        <v>PE20600</v>
      </c>
      <c r="D28" s="1" t="s">
        <v>14</v>
      </c>
      <c r="E28" s="1">
        <v>-200</v>
      </c>
      <c r="F28" s="1">
        <v>5</v>
      </c>
      <c r="G28">
        <v>133.66</v>
      </c>
      <c r="H28" s="81">
        <v>2012.3</v>
      </c>
      <c r="I28">
        <v>-307.55</v>
      </c>
      <c r="J28" s="1">
        <v>40</v>
      </c>
      <c r="K28" s="81">
        <v>1867.1</v>
      </c>
      <c r="L28" s="81">
        <v>2094.4499999999998</v>
      </c>
      <c r="M28">
        <v>200</v>
      </c>
      <c r="N28">
        <v>20600</v>
      </c>
      <c r="O28" s="1">
        <v>40</v>
      </c>
      <c r="P28">
        <v>0.55000000000000004</v>
      </c>
      <c r="Q28">
        <v>1.95</v>
      </c>
      <c r="R28" s="1">
        <v>1200</v>
      </c>
      <c r="S28">
        <v>0.9</v>
      </c>
      <c r="T28">
        <v>1</v>
      </c>
      <c r="U28">
        <v>65.59</v>
      </c>
      <c r="V28" s="1">
        <v>14</v>
      </c>
      <c r="W28" s="1">
        <v>-80</v>
      </c>
      <c r="X28" s="1">
        <v>1160</v>
      </c>
    </row>
    <row r="29" spans="1:24" x14ac:dyDescent="0.5">
      <c r="A29" t="str">
        <f t="shared" si="0"/>
        <v>CE20700</v>
      </c>
      <c r="B29" t="str">
        <f t="shared" si="1"/>
        <v>PE20700</v>
      </c>
      <c r="D29" s="1" t="s">
        <v>14</v>
      </c>
      <c r="E29" s="1" t="s">
        <v>14</v>
      </c>
      <c r="F29" s="1" t="s">
        <v>14</v>
      </c>
      <c r="G29" t="s">
        <v>14</v>
      </c>
      <c r="H29" t="s">
        <v>14</v>
      </c>
      <c r="I29" t="s">
        <v>14</v>
      </c>
      <c r="J29" s="1">
        <v>200</v>
      </c>
      <c r="K29" s="81">
        <v>1755.05</v>
      </c>
      <c r="L29" s="81">
        <v>1878.7</v>
      </c>
      <c r="M29">
        <v>200</v>
      </c>
      <c r="N29">
        <v>20700</v>
      </c>
      <c r="O29" s="1">
        <v>40</v>
      </c>
      <c r="P29">
        <v>0.5</v>
      </c>
      <c r="Q29">
        <v>2.95</v>
      </c>
      <c r="R29" s="1">
        <v>1200</v>
      </c>
      <c r="S29" t="s">
        <v>14</v>
      </c>
      <c r="T29" t="s">
        <v>14</v>
      </c>
      <c r="U29" t="s">
        <v>14</v>
      </c>
      <c r="V29" s="1" t="s">
        <v>14</v>
      </c>
      <c r="W29" s="1" t="s">
        <v>14</v>
      </c>
      <c r="X29" s="1" t="s">
        <v>14</v>
      </c>
    </row>
    <row r="30" spans="1:24" x14ac:dyDescent="0.5">
      <c r="A30" t="str">
        <f t="shared" si="0"/>
        <v>CE20800</v>
      </c>
      <c r="B30" t="str">
        <f t="shared" si="1"/>
        <v>PE20800</v>
      </c>
      <c r="D30" s="1" t="s">
        <v>14</v>
      </c>
      <c r="E30" s="1" t="s">
        <v>14</v>
      </c>
      <c r="F30" s="1" t="s">
        <v>14</v>
      </c>
      <c r="G30" t="s">
        <v>14</v>
      </c>
      <c r="H30" t="s">
        <v>14</v>
      </c>
      <c r="I30" t="s">
        <v>14</v>
      </c>
      <c r="J30" s="1">
        <v>200</v>
      </c>
      <c r="K30" s="81">
        <v>1610.35</v>
      </c>
      <c r="L30" s="81">
        <v>1850.1</v>
      </c>
      <c r="M30" s="1">
        <v>200</v>
      </c>
      <c r="N30">
        <v>20800</v>
      </c>
      <c r="O30">
        <v>40</v>
      </c>
      <c r="P30">
        <v>0.8</v>
      </c>
      <c r="Q30">
        <v>1.7</v>
      </c>
      <c r="R30" s="1">
        <v>1200</v>
      </c>
      <c r="S30">
        <v>-0.75</v>
      </c>
      <c r="T30">
        <v>1</v>
      </c>
      <c r="U30">
        <v>59.24</v>
      </c>
      <c r="V30" s="1">
        <v>6</v>
      </c>
      <c r="W30" s="1">
        <v>-200</v>
      </c>
      <c r="X30" s="1">
        <v>11160</v>
      </c>
    </row>
    <row r="31" spans="1:24" x14ac:dyDescent="0.5">
      <c r="A31" t="str">
        <f t="shared" si="0"/>
        <v>CE20900</v>
      </c>
      <c r="B31" t="str">
        <f t="shared" si="1"/>
        <v>PE20900</v>
      </c>
      <c r="D31" s="1" t="s">
        <v>14</v>
      </c>
      <c r="E31" s="1" t="s">
        <v>14</v>
      </c>
      <c r="F31" s="1" t="s">
        <v>14</v>
      </c>
      <c r="G31" t="s">
        <v>14</v>
      </c>
      <c r="H31" t="s">
        <v>14</v>
      </c>
      <c r="I31" t="s">
        <v>14</v>
      </c>
      <c r="J31" s="1">
        <v>40</v>
      </c>
      <c r="K31" s="81">
        <v>1514.7</v>
      </c>
      <c r="L31" s="81">
        <v>1682.05</v>
      </c>
      <c r="M31">
        <v>200</v>
      </c>
      <c r="N31">
        <v>20900</v>
      </c>
      <c r="O31" s="1">
        <v>1200</v>
      </c>
      <c r="P31">
        <v>0.1</v>
      </c>
      <c r="Q31">
        <v>2.9</v>
      </c>
      <c r="R31" s="1">
        <v>40</v>
      </c>
      <c r="S31">
        <v>-534.65</v>
      </c>
      <c r="T31">
        <v>0.55000000000000004</v>
      </c>
      <c r="U31">
        <v>52.69</v>
      </c>
      <c r="V31" s="1">
        <v>15</v>
      </c>
      <c r="W31" s="1">
        <v>240</v>
      </c>
      <c r="X31" s="1">
        <v>240</v>
      </c>
    </row>
    <row r="32" spans="1:24" x14ac:dyDescent="0.5">
      <c r="A32" t="str">
        <f t="shared" si="0"/>
        <v>CE21000</v>
      </c>
      <c r="B32" t="str">
        <f t="shared" si="1"/>
        <v>PE21000</v>
      </c>
      <c r="D32" s="1">
        <v>21760</v>
      </c>
      <c r="E32" s="1">
        <v>-14640</v>
      </c>
      <c r="F32" s="1">
        <v>391</v>
      </c>
      <c r="G32" t="s">
        <v>14</v>
      </c>
      <c r="H32" s="81">
        <v>1533</v>
      </c>
      <c r="I32">
        <v>-12.55</v>
      </c>
      <c r="J32" s="1">
        <v>40</v>
      </c>
      <c r="K32" s="81">
        <v>1516.05</v>
      </c>
      <c r="L32" s="81">
        <v>1530.55</v>
      </c>
      <c r="M32">
        <v>80</v>
      </c>
      <c r="N32">
        <v>21000</v>
      </c>
      <c r="O32" s="1">
        <v>200</v>
      </c>
      <c r="P32">
        <v>0.95</v>
      </c>
      <c r="Q32">
        <v>1.1000000000000001</v>
      </c>
      <c r="R32" s="1">
        <v>1520</v>
      </c>
      <c r="S32">
        <v>-2.2000000000000002</v>
      </c>
      <c r="T32">
        <v>1.05</v>
      </c>
      <c r="U32">
        <v>53.18</v>
      </c>
      <c r="V32" s="1">
        <v>3605</v>
      </c>
      <c r="W32" s="1">
        <v>-12680</v>
      </c>
      <c r="X32" s="1">
        <v>362840</v>
      </c>
    </row>
    <row r="33" spans="1:24" x14ac:dyDescent="0.5">
      <c r="A33" t="str">
        <f t="shared" si="0"/>
        <v>CE21100</v>
      </c>
      <c r="B33" t="str">
        <f t="shared" si="1"/>
        <v>PE21100</v>
      </c>
      <c r="D33" s="1">
        <v>160</v>
      </c>
      <c r="E33" s="1">
        <v>-80</v>
      </c>
      <c r="F33" s="1">
        <v>4</v>
      </c>
      <c r="G33">
        <v>118.88</v>
      </c>
      <c r="H33" s="81">
        <v>1542.2</v>
      </c>
      <c r="I33">
        <v>-53.3</v>
      </c>
      <c r="J33" s="1">
        <v>80</v>
      </c>
      <c r="K33" s="81">
        <v>1425.9</v>
      </c>
      <c r="L33" s="81">
        <v>1474.8</v>
      </c>
      <c r="M33" s="1">
        <v>40</v>
      </c>
      <c r="N33">
        <v>21100</v>
      </c>
      <c r="O33" s="1">
        <v>200</v>
      </c>
      <c r="P33">
        <v>1.3</v>
      </c>
      <c r="Q33">
        <v>1.7</v>
      </c>
      <c r="R33">
        <v>440</v>
      </c>
      <c r="S33">
        <v>-0.9</v>
      </c>
      <c r="T33">
        <v>1.5</v>
      </c>
      <c r="U33">
        <v>52.1</v>
      </c>
      <c r="V33" s="1">
        <v>271</v>
      </c>
      <c r="W33" s="1">
        <v>-3920</v>
      </c>
      <c r="X33" s="1">
        <v>12000</v>
      </c>
    </row>
    <row r="34" spans="1:24" x14ac:dyDescent="0.5">
      <c r="A34" t="str">
        <f t="shared" si="0"/>
        <v>CE21200</v>
      </c>
      <c r="B34" t="str">
        <f t="shared" si="1"/>
        <v>PE21200</v>
      </c>
      <c r="D34" s="1">
        <v>40</v>
      </c>
      <c r="E34" s="1">
        <v>-40</v>
      </c>
      <c r="F34" s="1">
        <v>1</v>
      </c>
      <c r="G34" t="s">
        <v>14</v>
      </c>
      <c r="H34" s="81">
        <v>1301</v>
      </c>
      <c r="I34">
        <v>94.5</v>
      </c>
      <c r="J34" s="1">
        <v>200</v>
      </c>
      <c r="K34" s="81">
        <v>1219.95</v>
      </c>
      <c r="L34" s="81">
        <v>1430.95</v>
      </c>
      <c r="M34" s="1">
        <v>200</v>
      </c>
      <c r="N34">
        <v>21200</v>
      </c>
      <c r="O34" s="1">
        <v>40</v>
      </c>
      <c r="P34">
        <v>1.25</v>
      </c>
      <c r="Q34">
        <v>1.75</v>
      </c>
      <c r="R34" s="1">
        <v>1080</v>
      </c>
      <c r="S34">
        <v>-1.1499999999999999</v>
      </c>
      <c r="T34">
        <v>1.2</v>
      </c>
      <c r="U34">
        <v>47.52</v>
      </c>
      <c r="V34" s="1">
        <v>322</v>
      </c>
      <c r="W34" s="1">
        <v>3080</v>
      </c>
      <c r="X34" s="1">
        <v>26880</v>
      </c>
    </row>
    <row r="35" spans="1:24" x14ac:dyDescent="0.5">
      <c r="A35" t="str">
        <f t="shared" si="0"/>
        <v>CE21300</v>
      </c>
      <c r="B35" t="str">
        <f t="shared" si="1"/>
        <v>PE21300</v>
      </c>
      <c r="D35" s="1">
        <v>320</v>
      </c>
      <c r="E35" s="1">
        <v>-160</v>
      </c>
      <c r="F35" s="1">
        <v>7</v>
      </c>
      <c r="G35" t="s">
        <v>14</v>
      </c>
      <c r="H35" s="81">
        <v>1200</v>
      </c>
      <c r="I35">
        <v>-344.2</v>
      </c>
      <c r="J35" s="1">
        <v>200</v>
      </c>
      <c r="K35" s="81">
        <v>1130.2</v>
      </c>
      <c r="L35" s="81">
        <v>1260.25</v>
      </c>
      <c r="M35" s="1">
        <v>120</v>
      </c>
      <c r="N35">
        <v>21300</v>
      </c>
      <c r="O35">
        <v>200</v>
      </c>
      <c r="P35">
        <v>1.5</v>
      </c>
      <c r="Q35">
        <v>1.55</v>
      </c>
      <c r="R35">
        <v>120</v>
      </c>
      <c r="S35">
        <v>-1.1000000000000001</v>
      </c>
      <c r="T35">
        <v>1.5</v>
      </c>
      <c r="U35">
        <v>45.48</v>
      </c>
      <c r="V35" s="1">
        <v>735</v>
      </c>
      <c r="W35" s="1">
        <v>-5960</v>
      </c>
      <c r="X35" s="1">
        <v>18680</v>
      </c>
    </row>
    <row r="36" spans="1:24" x14ac:dyDescent="0.5">
      <c r="A36" t="str">
        <f t="shared" si="0"/>
        <v>CE21400</v>
      </c>
      <c r="B36" t="str">
        <f t="shared" si="1"/>
        <v>PE21400</v>
      </c>
      <c r="D36" s="1">
        <v>2040</v>
      </c>
      <c r="E36" s="1" t="s">
        <v>14</v>
      </c>
      <c r="F36" s="1">
        <v>9</v>
      </c>
      <c r="G36" t="s">
        <v>14</v>
      </c>
      <c r="H36" s="81">
        <v>1068.4000000000001</v>
      </c>
      <c r="I36">
        <v>-98.1</v>
      </c>
      <c r="J36" s="1">
        <v>200</v>
      </c>
      <c r="K36" s="81">
        <v>1083.95</v>
      </c>
      <c r="L36" s="81">
        <v>1126.75</v>
      </c>
      <c r="M36" s="1">
        <v>80</v>
      </c>
      <c r="N36">
        <v>21400</v>
      </c>
      <c r="O36" s="1">
        <v>40</v>
      </c>
      <c r="P36">
        <v>1.25</v>
      </c>
      <c r="Q36" s="81">
        <v>1.9</v>
      </c>
      <c r="R36">
        <v>160</v>
      </c>
      <c r="S36">
        <v>-1.95</v>
      </c>
      <c r="T36">
        <v>1.9</v>
      </c>
      <c r="U36">
        <v>43.45</v>
      </c>
      <c r="V36" s="1">
        <v>434</v>
      </c>
      <c r="W36" s="1">
        <v>-280</v>
      </c>
      <c r="X36" s="1">
        <v>25200</v>
      </c>
    </row>
    <row r="37" spans="1:24" x14ac:dyDescent="0.5">
      <c r="A37" t="str">
        <f t="shared" si="0"/>
        <v>CE21500</v>
      </c>
      <c r="B37" t="str">
        <f t="shared" si="1"/>
        <v>PE21500</v>
      </c>
      <c r="D37" s="1">
        <v>27920</v>
      </c>
      <c r="E37" s="1">
        <v>-14600</v>
      </c>
      <c r="F37" s="1">
        <v>462</v>
      </c>
      <c r="G37" t="s">
        <v>14</v>
      </c>
      <c r="H37" s="81">
        <v>1032</v>
      </c>
      <c r="I37">
        <v>-35.4</v>
      </c>
      <c r="J37" s="1">
        <v>40</v>
      </c>
      <c r="K37" s="81">
        <v>1027.55</v>
      </c>
      <c r="L37" s="81">
        <v>1035.2</v>
      </c>
      <c r="M37" s="1">
        <v>360</v>
      </c>
      <c r="N37">
        <v>21500</v>
      </c>
      <c r="O37" s="1">
        <v>760</v>
      </c>
      <c r="P37">
        <v>1.55</v>
      </c>
      <c r="Q37" s="81">
        <v>1.95</v>
      </c>
      <c r="R37">
        <v>560</v>
      </c>
      <c r="S37">
        <v>-3.05</v>
      </c>
      <c r="T37">
        <v>1.95</v>
      </c>
      <c r="U37">
        <v>40.17</v>
      </c>
      <c r="V37" s="1">
        <v>8254</v>
      </c>
      <c r="W37" s="1">
        <v>-51560</v>
      </c>
      <c r="X37" s="1">
        <v>485280</v>
      </c>
    </row>
    <row r="38" spans="1:24" x14ac:dyDescent="0.5">
      <c r="A38" t="str">
        <f t="shared" si="0"/>
        <v>CE21600</v>
      </c>
      <c r="B38" t="str">
        <f t="shared" si="1"/>
        <v>PE21600</v>
      </c>
      <c r="D38" s="1">
        <v>1920</v>
      </c>
      <c r="E38" s="1">
        <v>-280</v>
      </c>
      <c r="F38" s="1">
        <v>11</v>
      </c>
      <c r="G38" t="s">
        <v>14</v>
      </c>
      <c r="H38">
        <v>867.8</v>
      </c>
      <c r="I38">
        <v>-82.4</v>
      </c>
      <c r="J38" s="1">
        <v>200</v>
      </c>
      <c r="K38">
        <v>876.8</v>
      </c>
      <c r="L38" s="81">
        <v>927.95</v>
      </c>
      <c r="M38" s="1">
        <v>80</v>
      </c>
      <c r="N38">
        <v>21600</v>
      </c>
      <c r="O38">
        <v>200</v>
      </c>
      <c r="P38">
        <v>1.5</v>
      </c>
      <c r="Q38" s="81">
        <v>1.85</v>
      </c>
      <c r="R38">
        <v>760</v>
      </c>
      <c r="S38">
        <v>-4.0999999999999996</v>
      </c>
      <c r="T38">
        <v>1.6</v>
      </c>
      <c r="U38">
        <v>35.78</v>
      </c>
      <c r="V38" s="1">
        <v>3012</v>
      </c>
      <c r="W38" s="1">
        <v>2920</v>
      </c>
      <c r="X38" s="1">
        <v>71360</v>
      </c>
    </row>
    <row r="39" spans="1:24" x14ac:dyDescent="0.5">
      <c r="A39" t="str">
        <f t="shared" si="0"/>
        <v>CE21700</v>
      </c>
      <c r="B39" t="str">
        <f t="shared" si="1"/>
        <v>PE21700</v>
      </c>
      <c r="D39" s="1">
        <v>2880</v>
      </c>
      <c r="E39" s="1">
        <v>-160</v>
      </c>
      <c r="F39" s="1">
        <v>12</v>
      </c>
      <c r="G39" t="s">
        <v>14</v>
      </c>
      <c r="H39">
        <v>760</v>
      </c>
      <c r="I39">
        <v>-89.85</v>
      </c>
      <c r="J39" s="1">
        <v>200</v>
      </c>
      <c r="K39">
        <v>800.3</v>
      </c>
      <c r="L39" s="81">
        <v>828.65</v>
      </c>
      <c r="M39" s="1">
        <v>80</v>
      </c>
      <c r="N39">
        <v>21700</v>
      </c>
      <c r="O39">
        <v>480</v>
      </c>
      <c r="P39">
        <v>2.0499999999999998</v>
      </c>
      <c r="Q39">
        <v>2.25</v>
      </c>
      <c r="R39">
        <v>40</v>
      </c>
      <c r="S39">
        <v>-4</v>
      </c>
      <c r="T39">
        <v>2.25</v>
      </c>
      <c r="U39">
        <v>33.94</v>
      </c>
      <c r="V39" s="1">
        <v>5685</v>
      </c>
      <c r="W39" s="1">
        <v>-1360</v>
      </c>
      <c r="X39" s="1">
        <v>65480</v>
      </c>
    </row>
    <row r="40" spans="1:24" x14ac:dyDescent="0.5">
      <c r="A40" t="str">
        <f t="shared" si="0"/>
        <v>CE21800</v>
      </c>
      <c r="B40" t="str">
        <f t="shared" si="1"/>
        <v>PE21800</v>
      </c>
      <c r="D40" s="1">
        <v>7040</v>
      </c>
      <c r="E40" s="1">
        <v>-160</v>
      </c>
      <c r="F40" s="1">
        <v>8</v>
      </c>
      <c r="G40" t="s">
        <v>14</v>
      </c>
      <c r="H40">
        <v>735.3</v>
      </c>
      <c r="I40">
        <v>-105.7</v>
      </c>
      <c r="J40" s="1">
        <v>80</v>
      </c>
      <c r="K40">
        <v>734.2</v>
      </c>
      <c r="L40">
        <v>749.7</v>
      </c>
      <c r="M40" s="1">
        <v>40</v>
      </c>
      <c r="N40">
        <v>21800</v>
      </c>
      <c r="O40" s="1">
        <v>1400</v>
      </c>
      <c r="P40" s="81">
        <v>2.7</v>
      </c>
      <c r="Q40" s="81">
        <v>3.45</v>
      </c>
      <c r="R40" s="1">
        <v>1000</v>
      </c>
      <c r="S40">
        <v>-4.55</v>
      </c>
      <c r="T40" s="81">
        <v>3.7</v>
      </c>
      <c r="U40">
        <v>32.83</v>
      </c>
      <c r="V40" s="1">
        <v>16409</v>
      </c>
      <c r="W40" s="1">
        <v>-5600</v>
      </c>
      <c r="X40" s="1">
        <v>105040</v>
      </c>
    </row>
    <row r="41" spans="1:24" x14ac:dyDescent="0.5">
      <c r="A41" t="str">
        <f t="shared" si="0"/>
        <v>CE21900</v>
      </c>
      <c r="B41" t="str">
        <f t="shared" si="1"/>
        <v>PE21900</v>
      </c>
      <c r="D41" s="1">
        <v>760</v>
      </c>
      <c r="E41" s="1">
        <v>-520</v>
      </c>
      <c r="F41" s="1">
        <v>14</v>
      </c>
      <c r="G41" t="s">
        <v>14</v>
      </c>
      <c r="H41">
        <v>635.54999999999995</v>
      </c>
      <c r="I41">
        <v>-157.25</v>
      </c>
      <c r="J41" s="1">
        <v>40</v>
      </c>
      <c r="K41">
        <v>603.4</v>
      </c>
      <c r="L41">
        <v>649</v>
      </c>
      <c r="M41" s="1">
        <v>40</v>
      </c>
      <c r="N41">
        <v>21900</v>
      </c>
      <c r="O41" s="1">
        <v>200</v>
      </c>
      <c r="P41" s="81">
        <v>4.05</v>
      </c>
      <c r="Q41">
        <v>4.95</v>
      </c>
      <c r="R41" s="1">
        <v>1000</v>
      </c>
      <c r="S41">
        <v>-7.2</v>
      </c>
      <c r="T41">
        <v>4.05</v>
      </c>
      <c r="U41">
        <v>29.47</v>
      </c>
      <c r="V41" s="1">
        <v>25085</v>
      </c>
      <c r="W41" s="1">
        <v>-21200</v>
      </c>
      <c r="X41" s="1">
        <v>187840</v>
      </c>
    </row>
    <row r="42" spans="1:24" x14ac:dyDescent="0.5">
      <c r="A42" t="str">
        <f t="shared" si="0"/>
        <v>CE22000</v>
      </c>
      <c r="B42" t="str">
        <f t="shared" si="1"/>
        <v>PE22000</v>
      </c>
      <c r="D42" s="1">
        <v>99360</v>
      </c>
      <c r="E42" s="1">
        <v>-5200</v>
      </c>
      <c r="F42" s="1">
        <v>574</v>
      </c>
      <c r="G42" t="s">
        <v>14</v>
      </c>
      <c r="H42">
        <v>537</v>
      </c>
      <c r="I42">
        <v>-38.65</v>
      </c>
      <c r="J42" s="1">
        <v>120</v>
      </c>
      <c r="K42">
        <v>537</v>
      </c>
      <c r="L42">
        <v>539.20000000000005</v>
      </c>
      <c r="M42" s="1">
        <v>40</v>
      </c>
      <c r="N42">
        <v>22000</v>
      </c>
      <c r="O42" s="1">
        <v>1280</v>
      </c>
      <c r="P42" s="81">
        <v>5.7</v>
      </c>
      <c r="Q42">
        <v>6</v>
      </c>
      <c r="R42" s="1">
        <v>2000</v>
      </c>
      <c r="S42">
        <v>-9</v>
      </c>
      <c r="T42">
        <v>6</v>
      </c>
      <c r="U42">
        <v>27.53</v>
      </c>
      <c r="V42" s="1">
        <v>95030</v>
      </c>
      <c r="W42" s="1">
        <v>-5600</v>
      </c>
      <c r="X42" s="1">
        <v>1236480</v>
      </c>
    </row>
    <row r="43" spans="1:24" x14ac:dyDescent="0.5">
      <c r="A43" t="str">
        <f t="shared" si="0"/>
        <v>CE22100</v>
      </c>
      <c r="B43" t="str">
        <f t="shared" si="1"/>
        <v>PE22100</v>
      </c>
      <c r="D43" s="1">
        <v>2560</v>
      </c>
      <c r="E43" s="1">
        <v>-320</v>
      </c>
      <c r="F43" s="1">
        <v>29</v>
      </c>
      <c r="G43" t="s">
        <v>14</v>
      </c>
      <c r="H43">
        <v>441</v>
      </c>
      <c r="I43">
        <v>-32.65</v>
      </c>
      <c r="J43">
        <v>40</v>
      </c>
      <c r="K43">
        <v>420.65</v>
      </c>
      <c r="L43">
        <v>448.95</v>
      </c>
      <c r="M43" s="1">
        <v>40</v>
      </c>
      <c r="N43">
        <v>22100</v>
      </c>
      <c r="O43" s="1">
        <v>80</v>
      </c>
      <c r="P43" s="81">
        <v>7</v>
      </c>
      <c r="Q43" s="81">
        <v>10.9</v>
      </c>
      <c r="R43">
        <v>160</v>
      </c>
      <c r="S43">
        <v>-12.4</v>
      </c>
      <c r="T43">
        <v>7.05</v>
      </c>
      <c r="U43">
        <v>24.14</v>
      </c>
      <c r="V43" s="1">
        <v>80935</v>
      </c>
      <c r="W43" s="1">
        <v>-159320</v>
      </c>
      <c r="X43" s="1">
        <v>281040</v>
      </c>
    </row>
    <row r="44" spans="1:24" x14ac:dyDescent="0.5">
      <c r="A44" t="str">
        <f t="shared" si="0"/>
        <v>CE22200</v>
      </c>
      <c r="B44" t="str">
        <f t="shared" si="1"/>
        <v>PE22200</v>
      </c>
      <c r="D44" s="1">
        <v>5600</v>
      </c>
      <c r="E44" s="1">
        <v>-640</v>
      </c>
      <c r="F44" s="1">
        <v>118</v>
      </c>
      <c r="G44" t="s">
        <v>14</v>
      </c>
      <c r="H44">
        <v>329.2</v>
      </c>
      <c r="I44">
        <v>-42.25</v>
      </c>
      <c r="J44" s="1">
        <v>40</v>
      </c>
      <c r="K44">
        <v>319.25</v>
      </c>
      <c r="L44">
        <v>350.85</v>
      </c>
      <c r="M44" s="1">
        <v>40</v>
      </c>
      <c r="N44">
        <v>22200</v>
      </c>
      <c r="O44" s="1">
        <v>160</v>
      </c>
      <c r="P44" s="81">
        <v>8.65</v>
      </c>
      <c r="Q44">
        <v>10</v>
      </c>
      <c r="R44" s="1">
        <v>2240</v>
      </c>
      <c r="S44">
        <v>-19.100000000000001</v>
      </c>
      <c r="T44">
        <v>9</v>
      </c>
      <c r="U44">
        <v>20.91</v>
      </c>
      <c r="V44" s="1">
        <v>160577</v>
      </c>
      <c r="W44" s="1">
        <v>236280</v>
      </c>
      <c r="X44" s="1">
        <v>842360</v>
      </c>
    </row>
    <row r="45" spans="1:24" x14ac:dyDescent="0.5">
      <c r="A45" t="str">
        <f t="shared" si="0"/>
        <v>CE22300</v>
      </c>
      <c r="B45" t="str">
        <f t="shared" si="1"/>
        <v>PE22300</v>
      </c>
      <c r="D45" s="1">
        <v>37120</v>
      </c>
      <c r="E45" s="1">
        <v>22720</v>
      </c>
      <c r="F45" s="1">
        <v>1671</v>
      </c>
      <c r="G45" t="s">
        <v>14</v>
      </c>
      <c r="H45">
        <v>230.1</v>
      </c>
      <c r="I45">
        <v>-59.6</v>
      </c>
      <c r="J45" s="1">
        <v>40</v>
      </c>
      <c r="K45">
        <v>225.3</v>
      </c>
      <c r="L45">
        <v>253.3</v>
      </c>
      <c r="M45" s="1">
        <v>40</v>
      </c>
      <c r="N45">
        <v>22300</v>
      </c>
      <c r="O45" s="1">
        <v>160</v>
      </c>
      <c r="P45" s="81">
        <v>13.8</v>
      </c>
      <c r="Q45">
        <v>14.4</v>
      </c>
      <c r="R45">
        <v>80</v>
      </c>
      <c r="S45">
        <v>-27.4</v>
      </c>
      <c r="T45" s="81">
        <v>13.8</v>
      </c>
      <c r="U45">
        <v>18.260000000000002</v>
      </c>
      <c r="V45" s="1">
        <v>198592</v>
      </c>
      <c r="W45" s="1">
        <v>134320</v>
      </c>
      <c r="X45" s="1">
        <v>428120</v>
      </c>
    </row>
    <row r="46" spans="1:24" x14ac:dyDescent="0.5">
      <c r="A46" t="str">
        <f t="shared" si="0"/>
        <v>CE22400</v>
      </c>
      <c r="B46" t="str">
        <f t="shared" si="1"/>
        <v>PE22400</v>
      </c>
      <c r="D46" s="1">
        <v>69600</v>
      </c>
      <c r="E46" s="1">
        <v>43440</v>
      </c>
      <c r="F46" s="1">
        <v>10011</v>
      </c>
      <c r="G46">
        <v>13</v>
      </c>
      <c r="H46">
        <v>156.9</v>
      </c>
      <c r="I46">
        <v>-66.400000000000006</v>
      </c>
      <c r="J46" s="1">
        <v>40</v>
      </c>
      <c r="K46">
        <v>156</v>
      </c>
      <c r="L46">
        <v>163</v>
      </c>
      <c r="M46">
        <v>40</v>
      </c>
      <c r="N46">
        <v>22400</v>
      </c>
      <c r="O46" s="1">
        <v>160</v>
      </c>
      <c r="P46" s="81">
        <v>28.35</v>
      </c>
      <c r="Q46">
        <v>29</v>
      </c>
      <c r="R46" s="1">
        <v>160</v>
      </c>
      <c r="S46">
        <v>-30.35</v>
      </c>
      <c r="T46">
        <v>29</v>
      </c>
      <c r="U46">
        <v>17.28</v>
      </c>
      <c r="V46" s="1">
        <v>214419</v>
      </c>
      <c r="W46" s="1">
        <v>6760</v>
      </c>
      <c r="X46" s="1">
        <v>374960</v>
      </c>
    </row>
    <row r="47" spans="1:24" x14ac:dyDescent="0.5">
      <c r="A47" t="str">
        <f t="shared" si="0"/>
        <v>CE22500</v>
      </c>
      <c r="B47" t="str">
        <f t="shared" si="1"/>
        <v>PE22500</v>
      </c>
      <c r="D47" s="1">
        <v>644120</v>
      </c>
      <c r="E47" s="1">
        <v>339840</v>
      </c>
      <c r="F47" s="1">
        <v>99310</v>
      </c>
      <c r="G47">
        <v>14.7</v>
      </c>
      <c r="H47">
        <v>92.4</v>
      </c>
      <c r="I47">
        <v>-63.4</v>
      </c>
      <c r="J47">
        <v>40</v>
      </c>
      <c r="K47">
        <v>91.1</v>
      </c>
      <c r="L47">
        <v>92.4</v>
      </c>
      <c r="M47" s="1">
        <v>520</v>
      </c>
      <c r="N47">
        <v>22500</v>
      </c>
      <c r="O47">
        <v>40</v>
      </c>
      <c r="P47" s="81">
        <v>57</v>
      </c>
      <c r="Q47">
        <v>59.9</v>
      </c>
      <c r="R47" s="1">
        <v>760</v>
      </c>
      <c r="S47">
        <v>-32</v>
      </c>
      <c r="T47">
        <v>57.05</v>
      </c>
      <c r="U47">
        <v>16.25</v>
      </c>
      <c r="V47" s="1">
        <v>267640</v>
      </c>
      <c r="W47" s="1">
        <v>1960</v>
      </c>
      <c r="X47" s="1">
        <v>967840</v>
      </c>
    </row>
    <row r="48" spans="1:24" x14ac:dyDescent="0.5">
      <c r="A48" t="str">
        <f t="shared" si="0"/>
        <v>CE22600</v>
      </c>
      <c r="B48" t="str">
        <f t="shared" si="1"/>
        <v>PE22600</v>
      </c>
      <c r="D48" s="1">
        <v>494320</v>
      </c>
      <c r="E48" s="1">
        <v>24280</v>
      </c>
      <c r="F48" s="1">
        <v>232727</v>
      </c>
      <c r="G48">
        <v>15.02</v>
      </c>
      <c r="H48">
        <v>45.7</v>
      </c>
      <c r="I48">
        <v>-54.05</v>
      </c>
      <c r="J48" s="1">
        <v>80</v>
      </c>
      <c r="K48">
        <v>45.6</v>
      </c>
      <c r="L48">
        <v>45.8</v>
      </c>
      <c r="M48" s="1">
        <v>80</v>
      </c>
      <c r="N48">
        <v>22600</v>
      </c>
      <c r="O48">
        <v>120</v>
      </c>
      <c r="P48" s="81">
        <v>100.05</v>
      </c>
      <c r="Q48">
        <v>101.75</v>
      </c>
      <c r="R48">
        <v>40</v>
      </c>
      <c r="S48">
        <v>-24.25</v>
      </c>
      <c r="T48">
        <v>104</v>
      </c>
      <c r="U48">
        <v>15.2</v>
      </c>
      <c r="V48" s="1">
        <v>166186</v>
      </c>
      <c r="W48" s="1">
        <v>-82720</v>
      </c>
      <c r="X48" s="1">
        <v>268000</v>
      </c>
    </row>
    <row r="49" spans="1:24" x14ac:dyDescent="0.5">
      <c r="A49" t="str">
        <f t="shared" si="0"/>
        <v>CE22700</v>
      </c>
      <c r="B49" t="str">
        <f t="shared" si="1"/>
        <v>PE22700</v>
      </c>
      <c r="D49" s="1">
        <v>621480</v>
      </c>
      <c r="E49" s="1">
        <v>164360</v>
      </c>
      <c r="F49" s="1">
        <v>271478</v>
      </c>
      <c r="G49">
        <v>14.76</v>
      </c>
      <c r="H49">
        <v>17.5</v>
      </c>
      <c r="I49">
        <v>-44.9</v>
      </c>
      <c r="J49" s="1">
        <v>80</v>
      </c>
      <c r="K49">
        <v>17.350000000000001</v>
      </c>
      <c r="L49">
        <v>17.7</v>
      </c>
      <c r="M49" s="1">
        <v>120</v>
      </c>
      <c r="N49">
        <v>22700</v>
      </c>
      <c r="O49">
        <v>400</v>
      </c>
      <c r="P49" s="81">
        <v>161.94999999999999</v>
      </c>
      <c r="Q49">
        <v>168.5</v>
      </c>
      <c r="R49">
        <v>40</v>
      </c>
      <c r="S49">
        <v>-15.8</v>
      </c>
      <c r="T49">
        <v>166</v>
      </c>
      <c r="U49">
        <v>11.57</v>
      </c>
      <c r="V49" s="1">
        <v>46869</v>
      </c>
      <c r="W49" s="1">
        <v>-61960</v>
      </c>
      <c r="X49" s="1">
        <v>170720</v>
      </c>
    </row>
    <row r="50" spans="1:24" x14ac:dyDescent="0.5">
      <c r="A50" t="str">
        <f t="shared" si="0"/>
        <v>CE22800</v>
      </c>
      <c r="B50" t="str">
        <f t="shared" si="1"/>
        <v>PE22800</v>
      </c>
      <c r="D50" s="1">
        <v>762600</v>
      </c>
      <c r="E50" s="1">
        <v>144200</v>
      </c>
      <c r="F50" s="1">
        <v>212067</v>
      </c>
      <c r="G50">
        <v>15.28</v>
      </c>
      <c r="H50">
        <v>6.35</v>
      </c>
      <c r="I50">
        <v>-29.95</v>
      </c>
      <c r="J50" s="1">
        <v>1760</v>
      </c>
      <c r="K50">
        <v>6.1</v>
      </c>
      <c r="L50">
        <v>6.35</v>
      </c>
      <c r="M50" s="1">
        <v>920</v>
      </c>
      <c r="N50">
        <v>22800</v>
      </c>
      <c r="O50">
        <v>160</v>
      </c>
      <c r="P50" s="81">
        <v>252</v>
      </c>
      <c r="Q50">
        <v>256.14999999999998</v>
      </c>
      <c r="R50">
        <v>40</v>
      </c>
      <c r="S50">
        <v>-0.55000000000000004</v>
      </c>
      <c r="T50">
        <v>252</v>
      </c>
      <c r="U50" t="s">
        <v>14</v>
      </c>
      <c r="V50" s="1">
        <v>8470</v>
      </c>
      <c r="W50" s="1">
        <v>-47440</v>
      </c>
      <c r="X50" s="1">
        <v>103040</v>
      </c>
    </row>
    <row r="51" spans="1:24" x14ac:dyDescent="0.5">
      <c r="A51" t="str">
        <f t="shared" si="0"/>
        <v>CE22900</v>
      </c>
      <c r="B51" t="str">
        <f t="shared" si="1"/>
        <v>PE22900</v>
      </c>
      <c r="D51" s="1">
        <v>583080</v>
      </c>
      <c r="E51" s="1">
        <v>-185040</v>
      </c>
      <c r="F51" s="1">
        <v>145319</v>
      </c>
      <c r="G51">
        <v>17.32</v>
      </c>
      <c r="H51">
        <v>3.45</v>
      </c>
      <c r="I51">
        <v>-15.85</v>
      </c>
      <c r="J51" s="1">
        <v>40</v>
      </c>
      <c r="K51">
        <v>3.15</v>
      </c>
      <c r="L51">
        <v>3.3</v>
      </c>
      <c r="M51" s="1">
        <v>1000</v>
      </c>
      <c r="N51">
        <v>22900</v>
      </c>
      <c r="O51" s="1">
        <v>40</v>
      </c>
      <c r="P51" s="81">
        <v>324.39999999999998</v>
      </c>
      <c r="Q51">
        <v>345.4</v>
      </c>
      <c r="R51">
        <v>80</v>
      </c>
      <c r="S51">
        <v>8.4</v>
      </c>
      <c r="T51">
        <v>344.1</v>
      </c>
      <c r="U51" t="s">
        <v>14</v>
      </c>
      <c r="V51" s="1">
        <v>1987</v>
      </c>
      <c r="W51" s="1">
        <v>-15720</v>
      </c>
      <c r="X51" s="1">
        <v>72880</v>
      </c>
    </row>
    <row r="52" spans="1:24" x14ac:dyDescent="0.5">
      <c r="A52" t="str">
        <f t="shared" si="0"/>
        <v>CE23000</v>
      </c>
      <c r="B52" t="str">
        <f t="shared" si="1"/>
        <v>PE23000</v>
      </c>
      <c r="D52" s="1">
        <v>1081880</v>
      </c>
      <c r="E52" s="1">
        <v>-143720</v>
      </c>
      <c r="F52" s="1">
        <v>130317</v>
      </c>
      <c r="G52">
        <v>19.36</v>
      </c>
      <c r="H52">
        <v>2.0499999999999998</v>
      </c>
      <c r="I52">
        <v>-8.9499999999999993</v>
      </c>
      <c r="J52" s="1">
        <v>480</v>
      </c>
      <c r="K52">
        <v>2.0499999999999998</v>
      </c>
      <c r="L52">
        <v>2.15</v>
      </c>
      <c r="M52" s="1">
        <v>80</v>
      </c>
      <c r="N52">
        <v>23000</v>
      </c>
      <c r="O52">
        <v>80</v>
      </c>
      <c r="P52" s="81">
        <v>434.65</v>
      </c>
      <c r="Q52">
        <v>438</v>
      </c>
      <c r="R52">
        <v>80</v>
      </c>
      <c r="S52">
        <v>19.649999999999999</v>
      </c>
      <c r="T52">
        <v>438</v>
      </c>
      <c r="U52" t="s">
        <v>14</v>
      </c>
      <c r="V52" s="1">
        <v>3793</v>
      </c>
      <c r="W52" s="1">
        <v>-38200</v>
      </c>
      <c r="X52" s="1">
        <v>106880</v>
      </c>
    </row>
    <row r="53" spans="1:24" x14ac:dyDescent="0.5">
      <c r="A53" t="str">
        <f t="shared" si="0"/>
        <v>CE23100</v>
      </c>
      <c r="B53" t="str">
        <f t="shared" si="1"/>
        <v>PE23100</v>
      </c>
      <c r="D53" s="1">
        <v>274520</v>
      </c>
      <c r="E53" s="1">
        <v>-140040</v>
      </c>
      <c r="F53" s="1">
        <v>41873</v>
      </c>
      <c r="G53">
        <v>22</v>
      </c>
      <c r="H53">
        <v>1.6</v>
      </c>
      <c r="I53">
        <v>-4.5</v>
      </c>
      <c r="J53" s="1">
        <v>1640</v>
      </c>
      <c r="K53">
        <v>1.35</v>
      </c>
      <c r="L53">
        <v>1.55</v>
      </c>
      <c r="M53" s="1">
        <v>320</v>
      </c>
      <c r="N53">
        <v>23100</v>
      </c>
      <c r="O53">
        <v>80</v>
      </c>
      <c r="P53" s="81">
        <v>522.65</v>
      </c>
      <c r="Q53">
        <v>570.5</v>
      </c>
      <c r="R53">
        <v>80</v>
      </c>
      <c r="S53">
        <v>31.6</v>
      </c>
      <c r="T53">
        <v>558.45000000000005</v>
      </c>
      <c r="U53">
        <v>20.82</v>
      </c>
      <c r="V53">
        <v>235</v>
      </c>
      <c r="W53" s="1">
        <v>-1800</v>
      </c>
      <c r="X53" s="1">
        <v>4360</v>
      </c>
    </row>
    <row r="54" spans="1:24" x14ac:dyDescent="0.5">
      <c r="A54" t="str">
        <f t="shared" si="0"/>
        <v>CE23200</v>
      </c>
      <c r="B54" t="str">
        <f t="shared" si="1"/>
        <v>PE23200</v>
      </c>
      <c r="D54" s="1">
        <v>311360</v>
      </c>
      <c r="E54" s="1">
        <v>-83320</v>
      </c>
      <c r="F54" s="1">
        <v>17590</v>
      </c>
      <c r="G54">
        <v>23.74</v>
      </c>
      <c r="H54">
        <v>1</v>
      </c>
      <c r="I54">
        <v>-2.7</v>
      </c>
      <c r="J54" s="1">
        <v>400</v>
      </c>
      <c r="K54">
        <v>1</v>
      </c>
      <c r="L54">
        <v>1.1000000000000001</v>
      </c>
      <c r="M54" s="1">
        <v>40</v>
      </c>
      <c r="N54">
        <v>23200</v>
      </c>
      <c r="O54">
        <v>200</v>
      </c>
      <c r="P54" s="81">
        <v>555.45000000000005</v>
      </c>
      <c r="Q54">
        <v>677.95</v>
      </c>
      <c r="R54">
        <v>40</v>
      </c>
      <c r="S54">
        <v>33.65</v>
      </c>
      <c r="T54">
        <v>657.4</v>
      </c>
      <c r="U54">
        <v>17.68</v>
      </c>
      <c r="V54">
        <v>12</v>
      </c>
      <c r="W54">
        <v>-80</v>
      </c>
      <c r="X54" s="1">
        <v>1800</v>
      </c>
    </row>
    <row r="55" spans="1:24" x14ac:dyDescent="0.5">
      <c r="A55" t="str">
        <f t="shared" si="0"/>
        <v>CE23300</v>
      </c>
      <c r="B55" t="str">
        <f t="shared" si="1"/>
        <v>PE23300</v>
      </c>
      <c r="D55" s="1">
        <v>170920</v>
      </c>
      <c r="E55" s="1">
        <v>-73200</v>
      </c>
      <c r="F55" s="1">
        <v>6282</v>
      </c>
      <c r="G55">
        <v>25.22</v>
      </c>
      <c r="H55">
        <v>0.6</v>
      </c>
      <c r="I55">
        <v>-1.85</v>
      </c>
      <c r="J55" s="1">
        <v>2360</v>
      </c>
      <c r="K55">
        <v>0.6</v>
      </c>
      <c r="L55">
        <v>0.95</v>
      </c>
      <c r="M55" s="1">
        <v>960</v>
      </c>
      <c r="N55">
        <v>23300</v>
      </c>
      <c r="O55" s="1">
        <v>40</v>
      </c>
      <c r="P55">
        <v>691.5</v>
      </c>
      <c r="Q55">
        <v>818.85</v>
      </c>
      <c r="R55">
        <v>40</v>
      </c>
      <c r="S55">
        <v>79.05</v>
      </c>
      <c r="T55">
        <v>790</v>
      </c>
      <c r="U55">
        <v>51.43</v>
      </c>
      <c r="V55">
        <v>5</v>
      </c>
      <c r="W55">
        <v>-80</v>
      </c>
      <c r="X55">
        <v>200</v>
      </c>
    </row>
    <row r="56" spans="1:24" x14ac:dyDescent="0.5">
      <c r="A56" t="str">
        <f t="shared" si="0"/>
        <v>CE23400</v>
      </c>
      <c r="B56" t="str">
        <f t="shared" si="1"/>
        <v>PE23400</v>
      </c>
      <c r="D56" s="1">
        <v>62760</v>
      </c>
      <c r="E56" s="1">
        <v>-18000</v>
      </c>
      <c r="F56" s="1">
        <v>2405</v>
      </c>
      <c r="G56">
        <v>28.59</v>
      </c>
      <c r="H56">
        <v>0.7</v>
      </c>
      <c r="I56">
        <v>-1.05</v>
      </c>
      <c r="J56" s="1">
        <v>440</v>
      </c>
      <c r="K56">
        <v>0.7</v>
      </c>
      <c r="L56">
        <v>0.9</v>
      </c>
      <c r="M56" s="1">
        <v>1000</v>
      </c>
      <c r="N56">
        <v>23400</v>
      </c>
      <c r="O56">
        <v>200</v>
      </c>
      <c r="P56" s="81">
        <v>802.85</v>
      </c>
      <c r="Q56">
        <v>919.2</v>
      </c>
      <c r="R56">
        <v>240</v>
      </c>
      <c r="S56">
        <v>143.9</v>
      </c>
      <c r="T56">
        <v>861</v>
      </c>
      <c r="U56">
        <v>35.770000000000003</v>
      </c>
      <c r="V56">
        <v>61</v>
      </c>
      <c r="W56">
        <v>40</v>
      </c>
      <c r="X56">
        <v>40</v>
      </c>
    </row>
    <row r="57" spans="1:24" x14ac:dyDescent="0.5">
      <c r="A57" t="str">
        <f t="shared" si="0"/>
        <v>CE23500</v>
      </c>
      <c r="B57" t="str">
        <f t="shared" si="1"/>
        <v>PE23500</v>
      </c>
      <c r="D57" s="1">
        <v>367800</v>
      </c>
      <c r="E57" s="1">
        <v>-63640</v>
      </c>
      <c r="F57" s="1">
        <v>2830</v>
      </c>
      <c r="G57">
        <v>30.32</v>
      </c>
      <c r="H57">
        <v>0.5</v>
      </c>
      <c r="I57">
        <v>-0.9</v>
      </c>
      <c r="J57" s="1">
        <v>10920</v>
      </c>
      <c r="K57">
        <v>0.5</v>
      </c>
      <c r="L57">
        <v>0.65</v>
      </c>
      <c r="M57" s="1">
        <v>400</v>
      </c>
      <c r="N57">
        <v>23500</v>
      </c>
      <c r="O57" s="1">
        <v>200</v>
      </c>
      <c r="P57" s="81">
        <v>927.1</v>
      </c>
      <c r="Q57">
        <v>945.25</v>
      </c>
      <c r="R57">
        <v>40</v>
      </c>
      <c r="S57">
        <v>-0.75</v>
      </c>
      <c r="T57">
        <v>923.8</v>
      </c>
      <c r="U57" t="s">
        <v>14</v>
      </c>
      <c r="V57">
        <v>500</v>
      </c>
      <c r="W57" s="1">
        <v>-17760</v>
      </c>
      <c r="X57" s="1">
        <v>39840</v>
      </c>
    </row>
    <row r="58" spans="1:24" x14ac:dyDescent="0.5">
      <c r="A58" t="str">
        <f t="shared" si="0"/>
        <v>CE23600</v>
      </c>
      <c r="B58" t="str">
        <f t="shared" si="1"/>
        <v>PE23600</v>
      </c>
      <c r="D58" s="1">
        <v>37240</v>
      </c>
      <c r="E58" s="1">
        <v>-3080</v>
      </c>
      <c r="F58">
        <v>245</v>
      </c>
      <c r="G58">
        <v>34.29</v>
      </c>
      <c r="H58">
        <v>0.7</v>
      </c>
      <c r="I58">
        <v>-0.6</v>
      </c>
      <c r="J58" s="1">
        <v>200</v>
      </c>
      <c r="K58">
        <v>0.4</v>
      </c>
      <c r="L58">
        <v>0.8</v>
      </c>
      <c r="M58" s="1">
        <v>920</v>
      </c>
      <c r="N58">
        <v>23600</v>
      </c>
      <c r="O58" s="1">
        <v>120</v>
      </c>
      <c r="P58" s="81">
        <v>1012.6</v>
      </c>
      <c r="Q58" s="81">
        <v>1072.05</v>
      </c>
      <c r="R58">
        <v>40</v>
      </c>
      <c r="S58">
        <v>79.150000000000006</v>
      </c>
      <c r="T58" s="81">
        <v>1016.2</v>
      </c>
      <c r="U58" t="s">
        <v>14</v>
      </c>
      <c r="V58">
        <v>50</v>
      </c>
      <c r="W58">
        <v>400</v>
      </c>
      <c r="X58">
        <v>440</v>
      </c>
    </row>
    <row r="59" spans="1:24" x14ac:dyDescent="0.5">
      <c r="A59" t="str">
        <f t="shared" si="0"/>
        <v>CE23700</v>
      </c>
      <c r="B59" t="str">
        <f t="shared" si="1"/>
        <v>PE23700</v>
      </c>
      <c r="D59" s="1">
        <v>17480</v>
      </c>
      <c r="E59" s="1">
        <v>-560</v>
      </c>
      <c r="F59">
        <v>53</v>
      </c>
      <c r="G59">
        <v>37.08</v>
      </c>
      <c r="H59">
        <v>0.7</v>
      </c>
      <c r="I59">
        <v>-0.3</v>
      </c>
      <c r="J59" s="1">
        <v>80</v>
      </c>
      <c r="K59">
        <v>0.5</v>
      </c>
      <c r="L59">
        <v>0.8</v>
      </c>
      <c r="M59" s="1">
        <v>800</v>
      </c>
      <c r="N59">
        <v>23700</v>
      </c>
      <c r="O59" s="1">
        <v>40</v>
      </c>
      <c r="P59" s="81">
        <v>1114.5</v>
      </c>
      <c r="Q59" s="81">
        <v>1241.3</v>
      </c>
      <c r="R59">
        <v>200</v>
      </c>
      <c r="S59" t="s">
        <v>14</v>
      </c>
      <c r="T59" s="81">
        <v>1036.0999999999999</v>
      </c>
      <c r="U59" t="s">
        <v>14</v>
      </c>
      <c r="V59" t="s">
        <v>14</v>
      </c>
      <c r="W59" t="s">
        <v>14</v>
      </c>
      <c r="X59">
        <v>40</v>
      </c>
    </row>
    <row r="60" spans="1:24" x14ac:dyDescent="0.5">
      <c r="A60" t="str">
        <f t="shared" si="0"/>
        <v>CE23800</v>
      </c>
      <c r="B60" t="str">
        <f t="shared" si="1"/>
        <v>PE23800</v>
      </c>
      <c r="D60" s="1">
        <v>8040</v>
      </c>
      <c r="E60" s="1">
        <v>-2920</v>
      </c>
      <c r="F60" s="1">
        <v>6335</v>
      </c>
      <c r="G60">
        <v>37.130000000000003</v>
      </c>
      <c r="H60">
        <v>0.35</v>
      </c>
      <c r="I60">
        <v>-0.95</v>
      </c>
      <c r="J60" s="1">
        <v>1640</v>
      </c>
      <c r="K60">
        <v>0.35</v>
      </c>
      <c r="L60">
        <v>0.8</v>
      </c>
      <c r="M60" s="1">
        <v>1000</v>
      </c>
      <c r="N60">
        <v>23800</v>
      </c>
      <c r="O60" s="1">
        <v>40</v>
      </c>
      <c r="P60" s="81">
        <v>1213.5999999999999</v>
      </c>
      <c r="Q60" s="81">
        <v>1267.55</v>
      </c>
      <c r="R60">
        <v>40</v>
      </c>
      <c r="S60" t="s">
        <v>14</v>
      </c>
      <c r="T60" s="81">
        <v>1137.4000000000001</v>
      </c>
      <c r="U60" t="s">
        <v>14</v>
      </c>
      <c r="V60" t="s">
        <v>14</v>
      </c>
      <c r="W60" t="s">
        <v>14</v>
      </c>
      <c r="X60">
        <v>40</v>
      </c>
    </row>
    <row r="61" spans="1:24" x14ac:dyDescent="0.5">
      <c r="A61" t="str">
        <f t="shared" si="0"/>
        <v>CE23900</v>
      </c>
      <c r="B61" t="str">
        <f t="shared" si="1"/>
        <v>PE23900</v>
      </c>
      <c r="D61" s="1">
        <v>27440</v>
      </c>
      <c r="E61">
        <v>-40</v>
      </c>
      <c r="F61">
        <v>324</v>
      </c>
      <c r="G61">
        <v>40.22</v>
      </c>
      <c r="H61">
        <v>0.4</v>
      </c>
      <c r="I61">
        <v>-0.9</v>
      </c>
      <c r="J61" s="1">
        <v>40</v>
      </c>
      <c r="K61">
        <v>0.4</v>
      </c>
      <c r="L61">
        <v>0.5</v>
      </c>
      <c r="M61" s="1">
        <v>520</v>
      </c>
      <c r="N61">
        <v>23900</v>
      </c>
      <c r="O61" s="1">
        <v>240</v>
      </c>
      <c r="P61" s="81">
        <v>1284.3</v>
      </c>
      <c r="Q61" s="81">
        <v>1384.75</v>
      </c>
      <c r="R61">
        <v>40</v>
      </c>
      <c r="S61" t="s">
        <v>14</v>
      </c>
      <c r="T61" t="s">
        <v>14</v>
      </c>
      <c r="U61" t="s">
        <v>14</v>
      </c>
      <c r="V61" t="s">
        <v>14</v>
      </c>
      <c r="W61" t="s">
        <v>14</v>
      </c>
      <c r="X61" t="s">
        <v>14</v>
      </c>
    </row>
    <row r="62" spans="1:24" x14ac:dyDescent="0.5">
      <c r="A62" t="str">
        <f t="shared" si="0"/>
        <v>CE24000</v>
      </c>
      <c r="B62" t="str">
        <f t="shared" si="1"/>
        <v>PE24000</v>
      </c>
      <c r="D62" s="1">
        <v>44400</v>
      </c>
      <c r="E62" s="1">
        <v>-5960</v>
      </c>
      <c r="F62" s="1">
        <v>61752</v>
      </c>
      <c r="G62">
        <v>40.96</v>
      </c>
      <c r="H62">
        <v>0.25</v>
      </c>
      <c r="I62">
        <v>-0.4</v>
      </c>
      <c r="J62" s="1">
        <v>4840</v>
      </c>
      <c r="K62">
        <v>0.1</v>
      </c>
      <c r="L62">
        <v>0.15</v>
      </c>
      <c r="M62" s="1">
        <v>760</v>
      </c>
      <c r="N62">
        <v>24000</v>
      </c>
      <c r="O62">
        <v>40</v>
      </c>
      <c r="P62" s="81">
        <v>1422.3</v>
      </c>
      <c r="Q62" s="81">
        <v>1463.1</v>
      </c>
      <c r="R62">
        <v>80</v>
      </c>
      <c r="S62">
        <v>108.85</v>
      </c>
      <c r="T62" s="81">
        <v>1555.6</v>
      </c>
      <c r="U62">
        <v>111.65</v>
      </c>
      <c r="V62" s="1">
        <v>75</v>
      </c>
      <c r="W62" s="1">
        <v>-2880</v>
      </c>
      <c r="X62" s="1">
        <v>2160</v>
      </c>
    </row>
    <row r="63" spans="1:24" x14ac:dyDescent="0.5">
      <c r="A63" t="str">
        <f t="shared" si="0"/>
        <v>CE24100</v>
      </c>
      <c r="B63" t="str">
        <f t="shared" si="1"/>
        <v>PE24100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s="1" t="s">
        <v>14</v>
      </c>
      <c r="K63" t="s">
        <v>14</v>
      </c>
      <c r="L63">
        <v>2</v>
      </c>
      <c r="M63" s="1">
        <v>2400</v>
      </c>
      <c r="N63">
        <v>24100</v>
      </c>
      <c r="O63">
        <v>200</v>
      </c>
      <c r="P63" s="81">
        <v>1348.55</v>
      </c>
      <c r="Q63" s="81">
        <v>1654</v>
      </c>
      <c r="R63">
        <v>200</v>
      </c>
      <c r="S63" t="s">
        <v>14</v>
      </c>
      <c r="T63" t="s">
        <v>14</v>
      </c>
      <c r="U63" t="s">
        <v>14</v>
      </c>
      <c r="V63" t="s">
        <v>14</v>
      </c>
      <c r="W63" t="s">
        <v>14</v>
      </c>
      <c r="X63" t="s">
        <v>14</v>
      </c>
    </row>
    <row r="64" spans="1:24" x14ac:dyDescent="0.5">
      <c r="A64" t="str">
        <f t="shared" si="0"/>
        <v>CE24200</v>
      </c>
      <c r="B64" t="str">
        <f t="shared" si="1"/>
        <v>PE24200</v>
      </c>
      <c r="D64" s="1">
        <v>1760</v>
      </c>
      <c r="E64" t="s">
        <v>14</v>
      </c>
      <c r="F64" s="1" t="s">
        <v>14</v>
      </c>
      <c r="G64" t="s">
        <v>14</v>
      </c>
      <c r="H64">
        <v>2</v>
      </c>
      <c r="I64" t="s">
        <v>14</v>
      </c>
      <c r="J64" s="1" t="s">
        <v>14</v>
      </c>
      <c r="K64" t="s">
        <v>14</v>
      </c>
      <c r="L64">
        <v>2</v>
      </c>
      <c r="M64" s="1">
        <v>2400</v>
      </c>
      <c r="N64">
        <v>24200</v>
      </c>
      <c r="O64">
        <v>200</v>
      </c>
      <c r="P64" s="81">
        <v>1448.9</v>
      </c>
      <c r="Q64" s="81">
        <v>1785.2</v>
      </c>
      <c r="R64">
        <v>200</v>
      </c>
      <c r="S64" t="s">
        <v>14</v>
      </c>
      <c r="T64" t="s">
        <v>14</v>
      </c>
      <c r="U64" t="s">
        <v>14</v>
      </c>
      <c r="V64" s="1" t="s">
        <v>14</v>
      </c>
      <c r="W64" t="s">
        <v>14</v>
      </c>
      <c r="X64" s="1" t="s">
        <v>14</v>
      </c>
    </row>
    <row r="65" spans="1:25" x14ac:dyDescent="0.5">
      <c r="A65" t="str">
        <f t="shared" si="0"/>
        <v>CE24300</v>
      </c>
      <c r="B65" t="str">
        <f t="shared" si="1"/>
        <v>PE24300</v>
      </c>
      <c r="D65" s="1">
        <v>2840</v>
      </c>
      <c r="E65">
        <v>-160</v>
      </c>
      <c r="F65" s="1">
        <v>4</v>
      </c>
      <c r="G65">
        <v>42.52</v>
      </c>
      <c r="H65">
        <v>0.05</v>
      </c>
      <c r="I65">
        <v>-0.05</v>
      </c>
      <c r="J65" t="s">
        <v>14</v>
      </c>
      <c r="K65" t="s">
        <v>14</v>
      </c>
      <c r="L65">
        <v>1.9</v>
      </c>
      <c r="M65" s="1">
        <v>2400</v>
      </c>
      <c r="N65">
        <v>24300</v>
      </c>
      <c r="O65">
        <v>40</v>
      </c>
      <c r="P65" s="81">
        <v>1710.85</v>
      </c>
      <c r="Q65" s="81">
        <v>1793.2</v>
      </c>
      <c r="R65">
        <v>200</v>
      </c>
      <c r="S65" t="s">
        <v>14</v>
      </c>
      <c r="T65" t="s">
        <v>14</v>
      </c>
      <c r="U65" t="s">
        <v>14</v>
      </c>
      <c r="V65" t="s">
        <v>14</v>
      </c>
      <c r="W65" t="s">
        <v>14</v>
      </c>
      <c r="X65" t="s">
        <v>14</v>
      </c>
    </row>
    <row r="66" spans="1:25" x14ac:dyDescent="0.5">
      <c r="A66" t="e">
        <f>"CE"&amp;#REF!</f>
        <v>#REF!</v>
      </c>
      <c r="B66" t="e">
        <f>"PE"&amp;#REF!</f>
        <v>#REF!</v>
      </c>
      <c r="D66" s="1">
        <v>2040</v>
      </c>
      <c r="E66" s="1" t="s">
        <v>14</v>
      </c>
      <c r="F66" s="1">
        <v>3000</v>
      </c>
      <c r="G66">
        <v>47.01</v>
      </c>
      <c r="H66">
        <v>0.1</v>
      </c>
      <c r="I66">
        <v>-1.7</v>
      </c>
      <c r="J66" s="1" t="s">
        <v>14</v>
      </c>
      <c r="K66" t="s">
        <v>14</v>
      </c>
      <c r="L66" t="s">
        <v>14</v>
      </c>
      <c r="M66" s="1" t="s">
        <v>14</v>
      </c>
      <c r="N66">
        <v>24400</v>
      </c>
      <c r="O66" s="1">
        <v>1000</v>
      </c>
      <c r="P66" s="81">
        <v>1261</v>
      </c>
      <c r="Q66" s="81">
        <v>2297.5</v>
      </c>
      <c r="R66">
        <v>40</v>
      </c>
      <c r="S66" t="s">
        <v>14</v>
      </c>
      <c r="T66" t="s">
        <v>14</v>
      </c>
      <c r="U66" t="s">
        <v>14</v>
      </c>
      <c r="V66" t="s">
        <v>14</v>
      </c>
      <c r="W66" t="s">
        <v>14</v>
      </c>
      <c r="X66" t="s">
        <v>14</v>
      </c>
    </row>
    <row r="67" spans="1:25" x14ac:dyDescent="0.5">
      <c r="A67" t="e">
        <f>"CE"&amp;#REF!</f>
        <v>#REF!</v>
      </c>
      <c r="B67" t="e">
        <f>"PE"&amp;#REF!</f>
        <v>#REF!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s="1" t="s">
        <v>14</v>
      </c>
      <c r="K67" t="s">
        <v>14</v>
      </c>
      <c r="L67" t="s">
        <v>14</v>
      </c>
      <c r="M67" s="1" t="s">
        <v>14</v>
      </c>
      <c r="N67">
        <v>24500</v>
      </c>
      <c r="O67" s="1">
        <v>1000</v>
      </c>
      <c r="P67" s="81">
        <v>1345</v>
      </c>
      <c r="Q67" s="81">
        <v>2409.5</v>
      </c>
      <c r="R67">
        <v>40</v>
      </c>
      <c r="S67" t="s">
        <v>14</v>
      </c>
      <c r="T67" t="s">
        <v>14</v>
      </c>
      <c r="U67" t="s">
        <v>14</v>
      </c>
      <c r="V67" t="s">
        <v>14</v>
      </c>
      <c r="W67" t="s">
        <v>14</v>
      </c>
      <c r="X67" t="s">
        <v>14</v>
      </c>
    </row>
    <row r="68" spans="1:25" x14ac:dyDescent="0.5">
      <c r="A68" t="e">
        <f>"CE"&amp;#REF!</f>
        <v>#REF!</v>
      </c>
      <c r="B68" t="e">
        <f>"PE"&amp;#REF!</f>
        <v>#REF!</v>
      </c>
      <c r="C68" t="s">
        <v>31</v>
      </c>
      <c r="D68" s="1">
        <v>5918960</v>
      </c>
      <c r="F68" s="1">
        <v>1248315</v>
      </c>
      <c r="V68" s="1">
        <v>1319662</v>
      </c>
      <c r="X68" s="1">
        <v>6489080</v>
      </c>
      <c r="Y68" t="s">
        <v>31</v>
      </c>
    </row>
    <row r="69" spans="1:25" x14ac:dyDescent="0.5">
      <c r="A69" t="e">
        <f>"CE"&amp;#REF!</f>
        <v>#REF!</v>
      </c>
      <c r="B69" t="e">
        <f>"PE"&amp;#REF!</f>
        <v>#REF!</v>
      </c>
    </row>
    <row r="70" spans="1:25" x14ac:dyDescent="0.5">
      <c r="A70" t="e">
        <f>"CE"&amp;#REF!</f>
        <v>#REF!</v>
      </c>
      <c r="B70" t="e">
        <f>"PE"&amp;#REF!</f>
        <v>#REF!</v>
      </c>
      <c r="C70" t="s">
        <v>53</v>
      </c>
    </row>
    <row r="71" spans="1:25" x14ac:dyDescent="0.5">
      <c r="A71" t="e">
        <f>"CE"&amp;#REF!</f>
        <v>#REF!</v>
      </c>
      <c r="B71" t="e">
        <f>"PE"&amp;#REF!</f>
        <v>#REF!</v>
      </c>
      <c r="C71" t="s">
        <v>54</v>
      </c>
    </row>
    <row r="72" spans="1:25" x14ac:dyDescent="0.5">
      <c r="A72" t="e">
        <f>"CE"&amp;#REF!</f>
        <v>#REF!</v>
      </c>
      <c r="B72" t="e">
        <f>"PE"&amp;#REF!</f>
        <v>#REF!</v>
      </c>
      <c r="C72" t="s">
        <v>55</v>
      </c>
    </row>
    <row r="73" spans="1:25" x14ac:dyDescent="0.5">
      <c r="A73" t="e">
        <f>"CE"&amp;#REF!</f>
        <v>#REF!</v>
      </c>
      <c r="B73" t="e">
        <f>"PE"&amp;#REF!</f>
        <v>#REF!</v>
      </c>
    </row>
    <row r="74" spans="1:25" x14ac:dyDescent="0.5">
      <c r="A74" t="e">
        <f>"CE"&amp;#REF!</f>
        <v>#REF!</v>
      </c>
      <c r="B74" t="e">
        <f>"PE"&amp;#REF!</f>
        <v>#REF!</v>
      </c>
    </row>
    <row r="75" spans="1:25" x14ac:dyDescent="0.5">
      <c r="A75" t="e">
        <f>"CE"&amp;#REF!</f>
        <v>#REF!</v>
      </c>
      <c r="B75" t="e">
        <f>"PE"&amp;#REF!</f>
        <v>#REF!</v>
      </c>
    </row>
    <row r="76" spans="1:25" x14ac:dyDescent="0.5">
      <c r="A76" t="e">
        <f>"CE"&amp;#REF!</f>
        <v>#REF!</v>
      </c>
      <c r="B76" t="e">
        <f>"PE"&amp;#REF!</f>
        <v>#REF!</v>
      </c>
    </row>
    <row r="77" spans="1:25" x14ac:dyDescent="0.5">
      <c r="A77" t="e">
        <f>"CE"&amp;#REF!</f>
        <v>#REF!</v>
      </c>
      <c r="B77" t="e">
        <f>"PE"&amp;#REF!</f>
        <v>#REF!</v>
      </c>
    </row>
    <row r="78" spans="1:25" x14ac:dyDescent="0.5">
      <c r="A78" t="e">
        <f>"CE"&amp;#REF!</f>
        <v>#REF!</v>
      </c>
      <c r="B78" t="e">
        <f>"PE"&amp;#REF!</f>
        <v>#REF!</v>
      </c>
    </row>
    <row r="79" spans="1:25" x14ac:dyDescent="0.5">
      <c r="A79" t="e">
        <f>"CE"&amp;#REF!</f>
        <v>#REF!</v>
      </c>
      <c r="B79" t="e">
        <f>"PE"&amp;#REF!</f>
        <v>#REF!</v>
      </c>
    </row>
    <row r="80" spans="1:25" x14ac:dyDescent="0.5">
      <c r="A80" t="e">
        <f>"CE"&amp;#REF!</f>
        <v>#REF!</v>
      </c>
      <c r="B80" t="e">
        <f>"PE"&amp;#REF!</f>
        <v>#REF!</v>
      </c>
    </row>
    <row r="81" spans="1:2" x14ac:dyDescent="0.5">
      <c r="A81" t="e">
        <f>"CE"&amp;#REF!</f>
        <v>#REF!</v>
      </c>
      <c r="B81" t="e">
        <f>"PE"&amp;#REF!</f>
        <v>#REF!</v>
      </c>
    </row>
    <row r="82" spans="1:2" x14ac:dyDescent="0.5">
      <c r="A82" t="e">
        <f>"CE"&amp;#REF!</f>
        <v>#REF!</v>
      </c>
      <c r="B82" t="e">
        <f>"PE"&amp;#REF!</f>
        <v>#REF!</v>
      </c>
    </row>
    <row r="83" spans="1:2" x14ac:dyDescent="0.5">
      <c r="A83" t="e">
        <f>"CE"&amp;#REF!</f>
        <v>#REF!</v>
      </c>
      <c r="B83" t="e">
        <f>"PE"&amp;#REF!</f>
        <v>#REF!</v>
      </c>
    </row>
    <row r="84" spans="1:2" x14ac:dyDescent="0.5">
      <c r="A84" t="e">
        <f>"CE"&amp;#REF!</f>
        <v>#REF!</v>
      </c>
      <c r="B84" t="e">
        <f>"PE"&amp;#REF!</f>
        <v>#REF!</v>
      </c>
    </row>
    <row r="85" spans="1:2" x14ac:dyDescent="0.5">
      <c r="A85" t="e">
        <f>"CE"&amp;#REF!</f>
        <v>#REF!</v>
      </c>
      <c r="B85" t="e">
        <f>"PE"&amp;#REF!</f>
        <v>#REF!</v>
      </c>
    </row>
    <row r="86" spans="1:2" x14ac:dyDescent="0.5">
      <c r="A86" t="e">
        <f>"CE"&amp;#REF!</f>
        <v>#REF!</v>
      </c>
      <c r="B86" t="e">
        <f>"PE"&amp;#REF!</f>
        <v>#REF!</v>
      </c>
    </row>
    <row r="87" spans="1:2" x14ac:dyDescent="0.5">
      <c r="A87" t="e">
        <f>"CE"&amp;#REF!</f>
        <v>#REF!</v>
      </c>
      <c r="B87" t="e">
        <f>"PE"&amp;#REF!</f>
        <v>#REF!</v>
      </c>
    </row>
    <row r="88" spans="1:2" x14ac:dyDescent="0.5">
      <c r="A88" t="e">
        <f>"CE"&amp;#REF!</f>
        <v>#REF!</v>
      </c>
      <c r="B88" t="e">
        <f>"PE"&amp;#REF!</f>
        <v>#REF!</v>
      </c>
    </row>
    <row r="89" spans="1:2" x14ac:dyDescent="0.5">
      <c r="A89" t="e">
        <f>"CE"&amp;#REF!</f>
        <v>#REF!</v>
      </c>
      <c r="B89" t="e">
        <f>"PE"&amp;#REF!</f>
        <v>#REF!</v>
      </c>
    </row>
    <row r="90" spans="1:2" x14ac:dyDescent="0.5">
      <c r="A90" t="e">
        <f>"CE"&amp;#REF!</f>
        <v>#REF!</v>
      </c>
      <c r="B90" t="e">
        <f>"PE"&amp;#REF!</f>
        <v>#REF!</v>
      </c>
    </row>
    <row r="91" spans="1:2" x14ac:dyDescent="0.5">
      <c r="A91" t="e">
        <f>"CE"&amp;#REF!</f>
        <v>#REF!</v>
      </c>
      <c r="B91" t="e">
        <f>"PE"&amp;#REF!</f>
        <v>#REF!</v>
      </c>
    </row>
    <row r="92" spans="1:2" x14ac:dyDescent="0.5">
      <c r="A92" t="e">
        <f>"CE"&amp;#REF!</f>
        <v>#REF!</v>
      </c>
      <c r="B92" t="e">
        <f>"PE"&amp;#REF!</f>
        <v>#REF!</v>
      </c>
    </row>
    <row r="93" spans="1:2" x14ac:dyDescent="0.5">
      <c r="A93" t="e">
        <f>"CE"&amp;#REF!</f>
        <v>#REF!</v>
      </c>
      <c r="B93" t="e">
        <f>"PE"&amp;#REF!</f>
        <v>#REF!</v>
      </c>
    </row>
    <row r="94" spans="1:2" x14ac:dyDescent="0.5">
      <c r="A94" t="e">
        <f>"CE"&amp;#REF!</f>
        <v>#REF!</v>
      </c>
      <c r="B94" t="e">
        <f>"PE"&amp;#REF!</f>
        <v>#REF!</v>
      </c>
    </row>
    <row r="95" spans="1:2" x14ac:dyDescent="0.5">
      <c r="A95" t="e">
        <f>"CE"&amp;#REF!</f>
        <v>#REF!</v>
      </c>
      <c r="B95" t="e">
        <f>"PE"&amp;#REF!</f>
        <v>#REF!</v>
      </c>
    </row>
    <row r="96" spans="1:2" x14ac:dyDescent="0.5">
      <c r="A96" t="e">
        <f>"CE"&amp;#REF!</f>
        <v>#REF!</v>
      </c>
      <c r="B96" t="e">
        <f>"PE"&amp;#REF!</f>
        <v>#REF!</v>
      </c>
    </row>
    <row r="97" spans="1:2" x14ac:dyDescent="0.5">
      <c r="A97" t="e">
        <f>"CE"&amp;#REF!</f>
        <v>#REF!</v>
      </c>
      <c r="B97" t="e">
        <f>"PE"&amp;#REF!</f>
        <v>#REF!</v>
      </c>
    </row>
    <row r="98" spans="1:2" x14ac:dyDescent="0.5">
      <c r="A98" t="e">
        <f>"CE"&amp;#REF!</f>
        <v>#REF!</v>
      </c>
      <c r="B98" t="e">
        <f>"PE"&amp;#REF!</f>
        <v>#REF!</v>
      </c>
    </row>
    <row r="99" spans="1:2" x14ac:dyDescent="0.5">
      <c r="A99" t="e">
        <f>"CE"&amp;#REF!</f>
        <v>#REF!</v>
      </c>
      <c r="B99" t="e">
        <f>"PE"&amp;#REF!</f>
        <v>#REF!</v>
      </c>
    </row>
    <row r="100" spans="1:2" x14ac:dyDescent="0.5">
      <c r="A100" t="e">
        <f>"CE"&amp;#REF!</f>
        <v>#REF!</v>
      </c>
      <c r="B100" t="e">
        <f>"PE"&amp;#REF!</f>
        <v>#REF!</v>
      </c>
    </row>
    <row r="101" spans="1:2" x14ac:dyDescent="0.5">
      <c r="A101" t="e">
        <f>"CE"&amp;#REF!</f>
        <v>#REF!</v>
      </c>
      <c r="B101" t="e">
        <f>"PE"&amp;#REF!</f>
        <v>#REF!</v>
      </c>
    </row>
    <row r="102" spans="1:2" x14ac:dyDescent="0.5">
      <c r="A102" t="e">
        <f>"CE"&amp;#REF!</f>
        <v>#REF!</v>
      </c>
      <c r="B102" t="e">
        <f>"PE"&amp;#REF!</f>
        <v>#REF!</v>
      </c>
    </row>
    <row r="103" spans="1:2" x14ac:dyDescent="0.5">
      <c r="A103" t="e">
        <f>"CE"&amp;#REF!</f>
        <v>#REF!</v>
      </c>
      <c r="B103" t="e">
        <f>"PE"&amp;#REF!</f>
        <v>#REF!</v>
      </c>
    </row>
    <row r="104" spans="1:2" x14ac:dyDescent="0.5">
      <c r="A104" t="e">
        <f>"CE"&amp;#REF!</f>
        <v>#REF!</v>
      </c>
      <c r="B104" t="e">
        <f>"PE"&amp;#REF!</f>
        <v>#REF!</v>
      </c>
    </row>
    <row r="105" spans="1:2" x14ac:dyDescent="0.5">
      <c r="A105" t="e">
        <f>"CE"&amp;#REF!</f>
        <v>#REF!</v>
      </c>
      <c r="B105" t="e">
        <f>"PE"&amp;#REF!</f>
        <v>#REF!</v>
      </c>
    </row>
    <row r="106" spans="1:2" x14ac:dyDescent="0.5">
      <c r="A106" t="e">
        <f>"CE"&amp;#REF!</f>
        <v>#REF!</v>
      </c>
      <c r="B106" t="e">
        <f>"PE"&amp;#REF!</f>
        <v>#REF!</v>
      </c>
    </row>
    <row r="107" spans="1:2" x14ac:dyDescent="0.5">
      <c r="A107" t="e">
        <f>"CE"&amp;#REF!</f>
        <v>#REF!</v>
      </c>
      <c r="B107" t="e">
        <f>"PE"&amp;#REF!</f>
        <v>#REF!</v>
      </c>
    </row>
    <row r="108" spans="1:2" x14ac:dyDescent="0.5">
      <c r="A108" t="e">
        <f>"CE"&amp;#REF!</f>
        <v>#REF!</v>
      </c>
      <c r="B108" t="e">
        <f>"PE"&amp;#REF!</f>
        <v>#REF!</v>
      </c>
    </row>
    <row r="109" spans="1:2" x14ac:dyDescent="0.5">
      <c r="A109" t="e">
        <f>"CE"&amp;#REF!</f>
        <v>#REF!</v>
      </c>
      <c r="B109" t="e">
        <f>"PE"&amp;#REF!</f>
        <v>#REF!</v>
      </c>
    </row>
    <row r="110" spans="1:2" x14ac:dyDescent="0.5">
      <c r="A110" t="e">
        <f>"CE"&amp;#REF!</f>
        <v>#REF!</v>
      </c>
      <c r="B110" t="e">
        <f>"PE"&amp;#REF!</f>
        <v>#REF!</v>
      </c>
    </row>
    <row r="111" spans="1:2" x14ac:dyDescent="0.5">
      <c r="A111" t="e">
        <f>"CE"&amp;#REF!</f>
        <v>#REF!</v>
      </c>
      <c r="B111" t="e">
        <f>"PE"&amp;#REF!</f>
        <v>#REF!</v>
      </c>
    </row>
    <row r="112" spans="1:2" x14ac:dyDescent="0.5">
      <c r="A112" t="e">
        <f>"CE"&amp;#REF!</f>
        <v>#REF!</v>
      </c>
      <c r="B112" t="e">
        <f>"PE"&amp;#REF!</f>
        <v>#REF!</v>
      </c>
    </row>
    <row r="113" spans="1:2" x14ac:dyDescent="0.5">
      <c r="A113" t="e">
        <f>"CE"&amp;#REF!</f>
        <v>#REF!</v>
      </c>
      <c r="B113" t="e">
        <f>"PE"&amp;#REF!</f>
        <v>#REF!</v>
      </c>
    </row>
    <row r="114" spans="1:2" x14ac:dyDescent="0.5">
      <c r="A114" t="e">
        <f>"CE"&amp;#REF!</f>
        <v>#REF!</v>
      </c>
      <c r="B114" t="e">
        <f>"PE"&amp;#REF!</f>
        <v>#REF!</v>
      </c>
    </row>
    <row r="115" spans="1:2" x14ac:dyDescent="0.5">
      <c r="A115" t="e">
        <f>"CE"&amp;#REF!</f>
        <v>#REF!</v>
      </c>
      <c r="B115" t="e">
        <f>"PE"&amp;#REF!</f>
        <v>#REF!</v>
      </c>
    </row>
    <row r="116" spans="1:2" x14ac:dyDescent="0.5">
      <c r="A116" t="e">
        <f>"CE"&amp;#REF!</f>
        <v>#REF!</v>
      </c>
      <c r="B116" t="e">
        <f>"PE"&amp;#REF!</f>
        <v>#REF!</v>
      </c>
    </row>
    <row r="117" spans="1:2" x14ac:dyDescent="0.5">
      <c r="A117" t="e">
        <f>"CE"&amp;#REF!</f>
        <v>#REF!</v>
      </c>
      <c r="B117" t="e">
        <f>"PE"&amp;#REF!</f>
        <v>#REF!</v>
      </c>
    </row>
    <row r="118" spans="1:2" x14ac:dyDescent="0.5">
      <c r="A118" t="e">
        <f>"CE"&amp;#REF!</f>
        <v>#REF!</v>
      </c>
      <c r="B118" t="e">
        <f>"PE"&amp;#REF!</f>
        <v>#REF!</v>
      </c>
    </row>
    <row r="119" spans="1:2" x14ac:dyDescent="0.5">
      <c r="A119" t="e">
        <f>"CE"&amp;#REF!</f>
        <v>#REF!</v>
      </c>
      <c r="B119" t="e">
        <f>"PE"&amp;#REF!</f>
        <v>#REF!</v>
      </c>
    </row>
    <row r="120" spans="1:2" x14ac:dyDescent="0.5">
      <c r="A120" t="e">
        <f>"CE"&amp;#REF!</f>
        <v>#REF!</v>
      </c>
      <c r="B120" t="e">
        <f>"PE"&amp;#REF!</f>
        <v>#REF!</v>
      </c>
    </row>
    <row r="121" spans="1:2" x14ac:dyDescent="0.5">
      <c r="A121" t="e">
        <f>"CE"&amp;#REF!</f>
        <v>#REF!</v>
      </c>
      <c r="B121" t="e">
        <f>"PE"&amp;#REF!</f>
        <v>#REF!</v>
      </c>
    </row>
    <row r="122" spans="1:2" x14ac:dyDescent="0.5">
      <c r="A122" t="e">
        <f>"CE"&amp;#REF!</f>
        <v>#REF!</v>
      </c>
      <c r="B122" t="e">
        <f>"PE"&amp;#REF!</f>
        <v>#REF!</v>
      </c>
    </row>
    <row r="123" spans="1:2" x14ac:dyDescent="0.5">
      <c r="A123" t="e">
        <f>"CE"&amp;#REF!</f>
        <v>#REF!</v>
      </c>
      <c r="B123" t="e">
        <f>"PE"&amp;#REF!</f>
        <v>#REF!</v>
      </c>
    </row>
    <row r="124" spans="1:2" x14ac:dyDescent="0.5">
      <c r="A124" t="e">
        <f>"CE"&amp;#REF!</f>
        <v>#REF!</v>
      </c>
      <c r="B124" t="e">
        <f>"PE"&amp;#REF!</f>
        <v>#REF!</v>
      </c>
    </row>
    <row r="125" spans="1:2" x14ac:dyDescent="0.5">
      <c r="A125" t="e">
        <f>"CE"&amp;#REF!</f>
        <v>#REF!</v>
      </c>
      <c r="B125" t="e">
        <f>"PE"&amp;#REF!</f>
        <v>#REF!</v>
      </c>
    </row>
    <row r="126" spans="1:2" x14ac:dyDescent="0.5">
      <c r="A126" t="e">
        <f>"CE"&amp;#REF!</f>
        <v>#REF!</v>
      </c>
      <c r="B126" t="e">
        <f>"PE"&amp;#REF!</f>
        <v>#REF!</v>
      </c>
    </row>
    <row r="127" spans="1:2" x14ac:dyDescent="0.5">
      <c r="A127" t="e">
        <f>"CE"&amp;#REF!</f>
        <v>#REF!</v>
      </c>
      <c r="B127" t="e">
        <f>"PE"&amp;#REF!</f>
        <v>#REF!</v>
      </c>
    </row>
    <row r="128" spans="1:2" x14ac:dyDescent="0.5">
      <c r="A128" t="e">
        <f>"CE"&amp;#REF!</f>
        <v>#REF!</v>
      </c>
      <c r="B128" t="e">
        <f>"PE"&amp;#REF!</f>
        <v>#REF!</v>
      </c>
    </row>
    <row r="129" spans="1:2" x14ac:dyDescent="0.5">
      <c r="A129" t="e">
        <f>"CE"&amp;#REF!</f>
        <v>#REF!</v>
      </c>
      <c r="B129" t="e">
        <f>"PE"&amp;#REF!</f>
        <v>#REF!</v>
      </c>
    </row>
    <row r="130" spans="1:2" x14ac:dyDescent="0.5">
      <c r="A130" t="e">
        <f>"CE"&amp;#REF!</f>
        <v>#REF!</v>
      </c>
      <c r="B130" t="e">
        <f>"PE"&amp;#REF!</f>
        <v>#REF!</v>
      </c>
    </row>
    <row r="131" spans="1:2" x14ac:dyDescent="0.5">
      <c r="A131" t="str">
        <f t="shared" ref="A131:A137" si="2">"CE"&amp;N90</f>
        <v>CE</v>
      </c>
      <c r="B131" t="str">
        <f t="shared" ref="B131:B137" si="3">"PE"&amp;N90</f>
        <v>PE</v>
      </c>
    </row>
    <row r="132" spans="1:2" x14ac:dyDescent="0.5">
      <c r="A132" t="str">
        <f t="shared" si="2"/>
        <v>CE</v>
      </c>
      <c r="B132" t="str">
        <f t="shared" si="3"/>
        <v>PE</v>
      </c>
    </row>
    <row r="133" spans="1:2" x14ac:dyDescent="0.5">
      <c r="A133" t="str">
        <f t="shared" si="2"/>
        <v>CE</v>
      </c>
      <c r="B133" t="str">
        <f t="shared" si="3"/>
        <v>PE</v>
      </c>
    </row>
    <row r="134" spans="1:2" x14ac:dyDescent="0.5">
      <c r="A134" t="str">
        <f t="shared" si="2"/>
        <v>CE</v>
      </c>
      <c r="B134" t="str">
        <f t="shared" si="3"/>
        <v>PE</v>
      </c>
    </row>
    <row r="135" spans="1:2" x14ac:dyDescent="0.5">
      <c r="A135" t="str">
        <f t="shared" si="2"/>
        <v>CE</v>
      </c>
      <c r="B135" t="str">
        <f t="shared" si="3"/>
        <v>PE</v>
      </c>
    </row>
    <row r="136" spans="1:2" x14ac:dyDescent="0.5">
      <c r="A136" t="str">
        <f t="shared" si="2"/>
        <v>CE</v>
      </c>
      <c r="B136" t="str">
        <f t="shared" si="3"/>
        <v>PE</v>
      </c>
    </row>
    <row r="137" spans="1:2" x14ac:dyDescent="0.5">
      <c r="A137" t="str">
        <f t="shared" si="2"/>
        <v>CE</v>
      </c>
      <c r="B137" t="str">
        <f t="shared" si="3"/>
        <v>PE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B1" workbookViewId="0">
      <selection activeCell="K24" sqref="K24"/>
    </sheetView>
  </sheetViews>
  <sheetFormatPr defaultColWidth="7.5859375" defaultRowHeight="14.35" x14ac:dyDescent="0.5"/>
  <cols>
    <col min="1" max="1" width="8.703125" hidden="1" customWidth="1"/>
    <col min="2" max="2" width="7.52734375" bestFit="1" customWidth="1"/>
    <col min="4" max="4" width="20.41015625" customWidth="1"/>
    <col min="5" max="5" width="8.5859375" customWidth="1"/>
    <col min="6" max="6" width="8.234375" customWidth="1"/>
    <col min="7" max="7" width="8.41015625" customWidth="1"/>
    <col min="8" max="8" width="9.8203125" customWidth="1"/>
    <col min="9" max="9" width="11.703125" customWidth="1"/>
    <col min="10" max="10" width="9.41015625" customWidth="1"/>
    <col min="11" max="11" width="9.234375" customWidth="1"/>
    <col min="12" max="12" width="8.234375" customWidth="1"/>
    <col min="13" max="13" width="9" customWidth="1"/>
    <col min="14" max="14" width="9.234375" customWidth="1"/>
    <col min="15" max="15" width="12" bestFit="1" customWidth="1"/>
    <col min="16" max="16" width="11" customWidth="1"/>
    <col min="17" max="17" width="9.234375" customWidth="1"/>
    <col min="18" max="18" width="10.5859375" customWidth="1"/>
    <col min="19" max="19" width="10" customWidth="1"/>
    <col min="20" max="20" width="17.8203125" customWidth="1"/>
    <col min="21" max="21" width="10.234375" customWidth="1"/>
  </cols>
  <sheetData>
    <row r="1" spans="1:21" ht="15" customHeight="1" x14ac:dyDescent="0.5">
      <c r="A1" s="2"/>
      <c r="B1" s="2"/>
      <c r="C1" s="2"/>
      <c r="D1" s="7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5" t="s">
        <v>43</v>
      </c>
      <c r="R1" s="86"/>
      <c r="S1" s="87"/>
      <c r="T1" s="67" t="s">
        <v>42</v>
      </c>
      <c r="U1" s="2"/>
    </row>
    <row r="2" spans="1:21" x14ac:dyDescent="0.5">
      <c r="A2" s="2"/>
      <c r="B2" s="2"/>
      <c r="C2" s="2"/>
      <c r="D2" s="3"/>
      <c r="E2" s="2"/>
      <c r="F2" s="2"/>
      <c r="G2" s="2"/>
      <c r="H2" s="2"/>
      <c r="I2" s="4" t="s">
        <v>16</v>
      </c>
      <c r="J2" s="5">
        <f>'Data BNF'!A4</f>
        <v>22536.3</v>
      </c>
      <c r="K2" s="2"/>
      <c r="L2" s="6" t="str">
        <f>'Data BNF'!A2</f>
        <v>Last Update @  15:30:29</v>
      </c>
      <c r="M2" s="7"/>
      <c r="N2" s="7"/>
      <c r="O2" s="71" t="str">
        <f>'Data BNF'!A1</f>
        <v>May 24, 2017</v>
      </c>
      <c r="P2" s="2"/>
      <c r="Q2" s="72" t="s">
        <v>45</v>
      </c>
      <c r="R2" s="69" t="s">
        <v>44</v>
      </c>
      <c r="S2" s="72" t="s">
        <v>46</v>
      </c>
      <c r="T2" s="73">
        <f ca="1">TODAY()</f>
        <v>42879</v>
      </c>
      <c r="U2" s="2"/>
    </row>
    <row r="3" spans="1:21" ht="18" x14ac:dyDescent="0.5">
      <c r="A3" s="2"/>
      <c r="B3" s="2"/>
      <c r="C3" s="2"/>
      <c r="D3" s="7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8"/>
      <c r="Q3" s="68">
        <v>0.72</v>
      </c>
      <c r="R3" s="70">
        <f>'PAIN Nifty'!B23</f>
        <v>0</v>
      </c>
      <c r="S3" s="68">
        <v>1.6</v>
      </c>
      <c r="T3" s="68"/>
      <c r="U3" s="2"/>
    </row>
    <row r="4" spans="1:21" x14ac:dyDescent="0.5">
      <c r="A4" s="2"/>
      <c r="B4" s="2"/>
      <c r="C4" s="2"/>
      <c r="D4" s="88" t="str">
        <f>'Data BNF'!C3</f>
        <v xml:space="preserve">OR </v>
      </c>
      <c r="E4" s="89"/>
      <c r="F4" s="89"/>
      <c r="G4" s="89"/>
      <c r="H4" s="89"/>
      <c r="I4" s="90"/>
      <c r="J4" s="90"/>
      <c r="K4" s="91"/>
      <c r="L4" s="8"/>
      <c r="M4" s="92">
        <f>'Data BNF'!O3</f>
        <v>0</v>
      </c>
      <c r="N4" s="93"/>
      <c r="O4" s="93"/>
      <c r="P4" s="94"/>
      <c r="Q4" s="94"/>
      <c r="R4" s="94"/>
      <c r="S4" s="94"/>
      <c r="T4" s="95"/>
      <c r="U4" s="2"/>
    </row>
    <row r="5" spans="1:21" ht="28.7" x14ac:dyDescent="0.5">
      <c r="A5" s="9"/>
      <c r="B5" s="9"/>
      <c r="C5" s="9"/>
      <c r="D5" s="10" t="s">
        <v>17</v>
      </c>
      <c r="E5" s="11" t="s">
        <v>18</v>
      </c>
      <c r="F5" s="11" t="s">
        <v>19</v>
      </c>
      <c r="G5" s="11" t="s">
        <v>32</v>
      </c>
      <c r="H5" s="11" t="s">
        <v>40</v>
      </c>
      <c r="I5" s="11" t="s">
        <v>39</v>
      </c>
      <c r="J5" s="11" t="s">
        <v>41</v>
      </c>
      <c r="K5" s="11" t="s">
        <v>38</v>
      </c>
      <c r="L5" s="12" t="s">
        <v>20</v>
      </c>
      <c r="M5" s="11" t="s">
        <v>35</v>
      </c>
      <c r="N5" s="11" t="s">
        <v>34</v>
      </c>
      <c r="O5" s="11" t="s">
        <v>36</v>
      </c>
      <c r="P5" s="11" t="s">
        <v>37</v>
      </c>
      <c r="Q5" s="11" t="s">
        <v>33</v>
      </c>
      <c r="R5" s="11" t="str">
        <f>F5</f>
        <v>price change</v>
      </c>
      <c r="S5" s="11" t="str">
        <f>E5</f>
        <v>OI change</v>
      </c>
      <c r="T5" s="13" t="str">
        <f>D5</f>
        <v>Interpretation</v>
      </c>
      <c r="U5" s="9"/>
    </row>
    <row r="6" spans="1:21" x14ac:dyDescent="0.5">
      <c r="A6" s="56" t="str">
        <f t="shared" ref="A6:A21" si="0">"CE"&amp;L6</f>
        <v>CE21700</v>
      </c>
      <c r="B6" s="56" t="str">
        <f t="shared" ref="B6:B21" si="1">"PE"&amp;L6</f>
        <v>PE21700</v>
      </c>
      <c r="C6" s="2"/>
      <c r="D6" s="14" t="str">
        <f t="shared" ref="D6:D20" si="2">IF(AND(J6&lt;0,I6&lt;0),"Long Liquidation",IF(AND(J6&lt;0,I6&gt;0),"Short Buildup",IF(AND(J6&gt;0,I6&gt;0),"Long Buildup",IF(AND(J6&gt;0,I6&lt;0),"Short covering"))))</f>
        <v>Long Liquidation</v>
      </c>
      <c r="E6" s="15" t="str">
        <f t="shared" ref="E6:F20" si="3">IF(I6&gt;0,"UP","DOWN")</f>
        <v>DOWN</v>
      </c>
      <c r="F6" s="16" t="str">
        <f t="shared" si="3"/>
        <v>DOWN</v>
      </c>
      <c r="G6" s="17">
        <f>VLOOKUP(A6,'Data BNF'!A$11:AZ$113,6,0)</f>
        <v>12</v>
      </c>
      <c r="H6" s="18">
        <f>VLOOKUP(A6,'Data BNF'!A$11:AZ$113,4,0)</f>
        <v>2880</v>
      </c>
      <c r="I6" s="64">
        <f>VLOOKUP(A6,'Data BNF'!A$11:AZ$113,5,0)</f>
        <v>-160</v>
      </c>
      <c r="J6" s="16">
        <f>VLOOKUP(A6,'Data BNF'!A$11:AZ$113,9,0)</f>
        <v>-89.85</v>
      </c>
      <c r="K6" s="16">
        <f>VLOOKUP(A6,'Data BNF'!A$11:AZ$113,8,0)</f>
        <v>760</v>
      </c>
      <c r="L6" s="19">
        <f>L14-800</f>
        <v>21700</v>
      </c>
      <c r="M6" s="16">
        <f>VLOOKUP(B6,'Data BNF'!B$11:BN$113,19,0)</f>
        <v>2.25</v>
      </c>
      <c r="N6" s="16">
        <f>VLOOKUP(B6,'Data BNF'!B$11:BN$113,18,0)</f>
        <v>-4</v>
      </c>
      <c r="O6" s="64">
        <f>VLOOKUP(B6,'Data BNF'!B$11:BN$113,22,0)</f>
        <v>-1360</v>
      </c>
      <c r="P6" s="18">
        <f>VLOOKUP(B6,'Data BNF'!B$11:BN$113,23,0)</f>
        <v>65480</v>
      </c>
      <c r="Q6" s="17">
        <f>VLOOKUP(B6,'Data BNF'!B$11:BN$113,21,0)</f>
        <v>5685</v>
      </c>
      <c r="R6" s="16" t="str">
        <f t="shared" ref="R6:S21" si="4">IF(N6&gt;0,"UP","DOWN")</f>
        <v>DOWN</v>
      </c>
      <c r="S6" s="20" t="str">
        <f t="shared" si="4"/>
        <v>DOWN</v>
      </c>
      <c r="T6" s="21" t="str">
        <f t="shared" ref="T6:T21" si="5">IF(AND(N6&lt;0,O6&lt;0),"Long Liquidation",IF(AND(N6&lt;0,O6&gt;0),"Short Buildup",IF(AND(N6&gt;0,O6&gt;0),"Long Buildup",IF(AND(N6&gt;0,O6&lt;0),"Short covering"))))</f>
        <v>Long Liquidation</v>
      </c>
      <c r="U6" s="2"/>
    </row>
    <row r="7" spans="1:21" x14ac:dyDescent="0.5">
      <c r="A7" s="56" t="str">
        <f>"CE"&amp;L7</f>
        <v>CE21800</v>
      </c>
      <c r="B7" s="56" t="str">
        <f>"PE"&amp;L7</f>
        <v>PE21800</v>
      </c>
      <c r="C7" s="2"/>
      <c r="D7" s="14" t="str">
        <f>IF(AND(J7&lt;0,I7&lt;0),"Long Liquidation",IF(AND(J7&lt;0,I7&gt;0),"Short Buildup",IF(AND(J7&gt;0,I7&gt;0),"Long Buildup",IF(AND(J7&gt;0,I7&lt;0),"Short covering"))))</f>
        <v>Long Liquidation</v>
      </c>
      <c r="E7" s="15" t="str">
        <f>IF(I7&gt;0,"UP","DOWN")</f>
        <v>DOWN</v>
      </c>
      <c r="F7" s="16" t="str">
        <f>IF(J7&gt;0,"UP","DOWN")</f>
        <v>DOWN</v>
      </c>
      <c r="G7" s="17">
        <f>VLOOKUP(A7,'Data BNF'!A$11:AZ$113,6,0)</f>
        <v>8</v>
      </c>
      <c r="H7" s="18">
        <f>VLOOKUP(A7,'Data BNF'!A$11:AZ$113,4,0)</f>
        <v>7040</v>
      </c>
      <c r="I7" s="64">
        <f>VLOOKUP(A7,'Data BNF'!A$11:AZ$113,5,0)</f>
        <v>-160</v>
      </c>
      <c r="J7" s="16">
        <f>VLOOKUP(A7,'Data BNF'!A$11:AZ$113,9,0)</f>
        <v>-105.7</v>
      </c>
      <c r="K7" s="16">
        <f>VLOOKUP(A7,'Data BNF'!A$11:AZ$113,8,0)</f>
        <v>735.3</v>
      </c>
      <c r="L7" s="19">
        <f>L14-700</f>
        <v>21800</v>
      </c>
      <c r="M7" s="16">
        <f>VLOOKUP(B7,'Data BNF'!B$11:BN$113,19,0)</f>
        <v>3.7</v>
      </c>
      <c r="N7" s="16">
        <f>VLOOKUP(B7,'Data BNF'!B$11:BN$113,18,0)</f>
        <v>-4.55</v>
      </c>
      <c r="O7" s="64">
        <f>VLOOKUP(B7,'Data BNF'!B$11:BN$113,22,0)</f>
        <v>-5600</v>
      </c>
      <c r="P7" s="18">
        <f>VLOOKUP(B7,'Data BNF'!B$11:BN$113,23,0)</f>
        <v>105040</v>
      </c>
      <c r="Q7" s="17">
        <f>VLOOKUP(B7,'Data BNF'!B$11:BN$113,21,0)</f>
        <v>16409</v>
      </c>
      <c r="R7" s="16" t="str">
        <f>IF(N7&gt;0,"UP","DOWN")</f>
        <v>DOWN</v>
      </c>
      <c r="S7" s="20" t="str">
        <f>IF(O7&gt;0,"UP","DOWN")</f>
        <v>DOWN</v>
      </c>
      <c r="T7" s="21" t="str">
        <f>IF(AND(N7&lt;0,O7&lt;0),"Long Liquidation",IF(AND(N7&lt;0,O7&gt;0),"Short Buildup",IF(AND(N7&gt;0,O7&gt;0),"Long Buildup",IF(AND(N7&gt;0,O7&lt;0),"Short covering"))))</f>
        <v>Long Liquidation</v>
      </c>
      <c r="U7" s="2"/>
    </row>
    <row r="8" spans="1:21" x14ac:dyDescent="0.5">
      <c r="A8" s="56" t="str">
        <f t="shared" si="0"/>
        <v>CE21900</v>
      </c>
      <c r="B8" s="56" t="str">
        <f t="shared" si="1"/>
        <v>PE21900</v>
      </c>
      <c r="C8" s="2"/>
      <c r="D8" s="14" t="str">
        <f t="shared" si="2"/>
        <v>Long Liquidation</v>
      </c>
      <c r="E8" s="15" t="str">
        <f t="shared" si="3"/>
        <v>DOWN</v>
      </c>
      <c r="F8" s="16" t="str">
        <f t="shared" si="3"/>
        <v>DOWN</v>
      </c>
      <c r="G8" s="17">
        <f>VLOOKUP(A8,'Data BNF'!A$11:AZ$113,6,0)</f>
        <v>14</v>
      </c>
      <c r="H8" s="18">
        <f>VLOOKUP(A8,'Data BNF'!A$11:AZ$113,4,0)</f>
        <v>760</v>
      </c>
      <c r="I8" s="64">
        <f>VLOOKUP(A8,'Data BNF'!A$11:AZ$113,5,0)</f>
        <v>-520</v>
      </c>
      <c r="J8" s="16">
        <f>VLOOKUP(A8,'Data BNF'!A$11:AZ$113,9,0)</f>
        <v>-157.25</v>
      </c>
      <c r="K8" s="16">
        <f>VLOOKUP(A8,'Data BNF'!A$11:AZ$113,8,0)</f>
        <v>635.54999999999995</v>
      </c>
      <c r="L8" s="19">
        <f>L14-600</f>
        <v>21900</v>
      </c>
      <c r="M8" s="16">
        <f>VLOOKUP(B8,'Data BNF'!B$11:BN$113,19,0)</f>
        <v>4.05</v>
      </c>
      <c r="N8" s="16">
        <f>VLOOKUP(B8,'Data BNF'!B$11:BN$113,18,0)</f>
        <v>-7.2</v>
      </c>
      <c r="O8" s="64">
        <f>VLOOKUP(B8,'Data BNF'!B$11:BN$113,22,0)</f>
        <v>-21200</v>
      </c>
      <c r="P8" s="18">
        <f>VLOOKUP(B8,'Data BNF'!B$11:BN$113,23,0)</f>
        <v>187840</v>
      </c>
      <c r="Q8" s="17">
        <f>VLOOKUP(B8,'Data BNF'!B$11:BN$113,21,0)</f>
        <v>25085</v>
      </c>
      <c r="R8" s="16" t="str">
        <f t="shared" si="4"/>
        <v>DOWN</v>
      </c>
      <c r="S8" s="20" t="str">
        <f t="shared" si="4"/>
        <v>DOWN</v>
      </c>
      <c r="T8" s="21" t="str">
        <f t="shared" si="5"/>
        <v>Long Liquidation</v>
      </c>
      <c r="U8" s="2"/>
    </row>
    <row r="9" spans="1:21" x14ac:dyDescent="0.5">
      <c r="A9" s="56" t="str">
        <f t="shared" si="0"/>
        <v>CE22000</v>
      </c>
      <c r="B9" s="56" t="str">
        <f t="shared" si="1"/>
        <v>PE22000</v>
      </c>
      <c r="C9" s="2"/>
      <c r="D9" s="14" t="str">
        <f t="shared" si="2"/>
        <v>Long Liquidation</v>
      </c>
      <c r="E9" s="15" t="str">
        <f t="shared" si="3"/>
        <v>DOWN</v>
      </c>
      <c r="F9" s="16" t="str">
        <f t="shared" si="3"/>
        <v>DOWN</v>
      </c>
      <c r="G9" s="17">
        <f>VLOOKUP(A9,'Data BNF'!A$11:AZ$113,6,0)</f>
        <v>574</v>
      </c>
      <c r="H9" s="18">
        <f>VLOOKUP(A9,'Data BNF'!A$11:AZ$113,4,0)</f>
        <v>99360</v>
      </c>
      <c r="I9" s="64">
        <f>VLOOKUP(A9,'Data BNF'!A$11:AZ$113,5,0)</f>
        <v>-5200</v>
      </c>
      <c r="J9" s="16">
        <f>VLOOKUP(A9,'Data BNF'!A$11:AZ$113,9,0)</f>
        <v>-38.65</v>
      </c>
      <c r="K9" s="16">
        <f>VLOOKUP(A9,'Data BNF'!A$11:AZ$113,8,0)</f>
        <v>537</v>
      </c>
      <c r="L9" s="19">
        <f>L14-500</f>
        <v>22000</v>
      </c>
      <c r="M9" s="16">
        <f>VLOOKUP(B9,'Data BNF'!B$11:BN$113,19,0)</f>
        <v>6</v>
      </c>
      <c r="N9" s="16">
        <f>VLOOKUP(B9,'Data BNF'!B$11:BN$113,18,0)</f>
        <v>-9</v>
      </c>
      <c r="O9" s="64">
        <f>VLOOKUP(B9,'Data BNF'!B$11:BN$113,22,0)</f>
        <v>-5600</v>
      </c>
      <c r="P9" s="18">
        <f>VLOOKUP(B9,'Data BNF'!B$11:BN$113,23,0)</f>
        <v>1236480</v>
      </c>
      <c r="Q9" s="17">
        <f>VLOOKUP(B9,'Data BNF'!B$11:BN$113,21,0)</f>
        <v>95030</v>
      </c>
      <c r="R9" s="16" t="str">
        <f t="shared" si="4"/>
        <v>DOWN</v>
      </c>
      <c r="S9" s="20" t="str">
        <f t="shared" si="4"/>
        <v>DOWN</v>
      </c>
      <c r="T9" s="21" t="str">
        <f t="shared" si="5"/>
        <v>Long Liquidation</v>
      </c>
      <c r="U9" s="2"/>
    </row>
    <row r="10" spans="1:21" x14ac:dyDescent="0.5">
      <c r="A10" s="56" t="str">
        <f t="shared" si="0"/>
        <v>CE22100</v>
      </c>
      <c r="B10" s="56" t="str">
        <f t="shared" si="1"/>
        <v>PE22100</v>
      </c>
      <c r="C10" s="2"/>
      <c r="D10" s="14" t="str">
        <f t="shared" si="2"/>
        <v>Long Liquidation</v>
      </c>
      <c r="E10" s="15" t="str">
        <f t="shared" si="3"/>
        <v>DOWN</v>
      </c>
      <c r="F10" s="16" t="str">
        <f t="shared" si="3"/>
        <v>DOWN</v>
      </c>
      <c r="G10" s="17">
        <f>VLOOKUP(A10,'Data BNF'!A$11:AZ$113,6,0)</f>
        <v>29</v>
      </c>
      <c r="H10" s="18">
        <f>VLOOKUP(A10,'Data BNF'!A$11:AZ$113,4,0)</f>
        <v>2560</v>
      </c>
      <c r="I10" s="64">
        <f>VLOOKUP(A10,'Data BNF'!A$11:AZ$113,5,0)</f>
        <v>-320</v>
      </c>
      <c r="J10" s="16">
        <f>VLOOKUP(A10,'Data BNF'!A$11:AZ$113,9,0)</f>
        <v>-32.65</v>
      </c>
      <c r="K10" s="16">
        <f>VLOOKUP(A10,'Data BNF'!A$11:AZ$113,8,0)</f>
        <v>441</v>
      </c>
      <c r="L10" s="19">
        <f>L14-400</f>
        <v>22100</v>
      </c>
      <c r="M10" s="16">
        <f>VLOOKUP(B10,'Data BNF'!B$11:BN$113,19,0)</f>
        <v>7.05</v>
      </c>
      <c r="N10" s="16">
        <f>VLOOKUP(B10,'Data BNF'!B$11:BN$113,18,0)</f>
        <v>-12.4</v>
      </c>
      <c r="O10" s="64">
        <f>VLOOKUP(B10,'Data BNF'!B$11:BN$113,22,0)</f>
        <v>-159320</v>
      </c>
      <c r="P10" s="18">
        <f>VLOOKUP(B10,'Data BNF'!B$11:BN$113,23,0)</f>
        <v>281040</v>
      </c>
      <c r="Q10" s="17">
        <f>VLOOKUP(B10,'Data BNF'!B$11:BN$113,21,0)</f>
        <v>80935</v>
      </c>
      <c r="R10" s="16" t="str">
        <f t="shared" si="4"/>
        <v>DOWN</v>
      </c>
      <c r="S10" s="20" t="str">
        <f t="shared" si="4"/>
        <v>DOWN</v>
      </c>
      <c r="T10" s="21" t="str">
        <f t="shared" si="5"/>
        <v>Long Liquidation</v>
      </c>
      <c r="U10" s="2"/>
    </row>
    <row r="11" spans="1:21" x14ac:dyDescent="0.5">
      <c r="A11" s="56" t="str">
        <f t="shared" si="0"/>
        <v>CE22200</v>
      </c>
      <c r="B11" s="56" t="str">
        <f t="shared" si="1"/>
        <v>PE22200</v>
      </c>
      <c r="C11" s="2"/>
      <c r="D11" s="14" t="str">
        <f t="shared" si="2"/>
        <v>Long Liquidation</v>
      </c>
      <c r="E11" s="15" t="str">
        <f t="shared" si="3"/>
        <v>DOWN</v>
      </c>
      <c r="F11" s="16" t="str">
        <f t="shared" si="3"/>
        <v>DOWN</v>
      </c>
      <c r="G11" s="17">
        <f>VLOOKUP(A11,'Data BNF'!A$11:AZ$113,6,0)</f>
        <v>118</v>
      </c>
      <c r="H11" s="18">
        <f>VLOOKUP(A11,'Data BNF'!A$11:AZ$113,4,0)</f>
        <v>5600</v>
      </c>
      <c r="I11" s="64">
        <f>VLOOKUP(A11,'Data BNF'!A$11:AZ$113,5,0)</f>
        <v>-640</v>
      </c>
      <c r="J11" s="16">
        <f>VLOOKUP(A11,'Data BNF'!A$11:AZ$113,9,0)</f>
        <v>-42.25</v>
      </c>
      <c r="K11" s="16">
        <f>VLOOKUP(A11,'Data BNF'!A$11:AZ$113,8,0)</f>
        <v>329.2</v>
      </c>
      <c r="L11" s="19">
        <f>L14-300</f>
        <v>22200</v>
      </c>
      <c r="M11" s="16">
        <f>VLOOKUP(B11,'Data BNF'!B$11:BN$113,19,0)</f>
        <v>9</v>
      </c>
      <c r="N11" s="16">
        <f>VLOOKUP(B11,'Data BNF'!B$11:BN$113,18,0)</f>
        <v>-19.100000000000001</v>
      </c>
      <c r="O11" s="64">
        <f>VLOOKUP(B11,'Data BNF'!B$11:BN$113,22,0)</f>
        <v>236280</v>
      </c>
      <c r="P11" s="18">
        <f>VLOOKUP(B11,'Data BNF'!B$11:BN$113,23,0)</f>
        <v>842360</v>
      </c>
      <c r="Q11" s="17">
        <f>VLOOKUP(B11,'Data BNF'!B$11:BN$113,21,0)</f>
        <v>160577</v>
      </c>
      <c r="R11" s="16" t="str">
        <f t="shared" si="4"/>
        <v>DOWN</v>
      </c>
      <c r="S11" s="20" t="str">
        <f t="shared" si="4"/>
        <v>UP</v>
      </c>
      <c r="T11" s="21" t="str">
        <f t="shared" si="5"/>
        <v>Short Buildup</v>
      </c>
      <c r="U11" s="2"/>
    </row>
    <row r="12" spans="1:21" x14ac:dyDescent="0.5">
      <c r="A12" s="56" t="str">
        <f t="shared" si="0"/>
        <v>CE22300</v>
      </c>
      <c r="B12" s="56" t="str">
        <f t="shared" si="1"/>
        <v>PE22300</v>
      </c>
      <c r="C12" s="2"/>
      <c r="D12" s="14" t="str">
        <f t="shared" si="2"/>
        <v>Short Buildup</v>
      </c>
      <c r="E12" s="15" t="str">
        <f t="shared" si="3"/>
        <v>UP</v>
      </c>
      <c r="F12" s="16" t="str">
        <f t="shared" si="3"/>
        <v>DOWN</v>
      </c>
      <c r="G12" s="17">
        <f>VLOOKUP(A12,'Data BNF'!A$11:AZ$113,6,0)</f>
        <v>1671</v>
      </c>
      <c r="H12" s="18">
        <f>VLOOKUP(A12,'Data BNF'!A$11:AZ$113,4,0)</f>
        <v>37120</v>
      </c>
      <c r="I12" s="64">
        <f>VLOOKUP(A12,'Data BNF'!A$11:AZ$113,5,0)</f>
        <v>22720</v>
      </c>
      <c r="J12" s="16">
        <f>VLOOKUP(A12,'Data BNF'!A$11:AZ$113,9,0)</f>
        <v>-59.6</v>
      </c>
      <c r="K12" s="16">
        <f>VLOOKUP(A12,'Data BNF'!A$11:AZ$113,8,0)</f>
        <v>230.1</v>
      </c>
      <c r="L12" s="19">
        <f>L14-200</f>
        <v>22300</v>
      </c>
      <c r="M12" s="16">
        <f>VLOOKUP(B12,'Data BNF'!B$11:BN$113,19,0)</f>
        <v>13.8</v>
      </c>
      <c r="N12" s="16">
        <f>VLOOKUP(B12,'Data BNF'!B$11:BN$113,18,0)</f>
        <v>-27.4</v>
      </c>
      <c r="O12" s="64">
        <f>VLOOKUP(B12,'Data BNF'!B$11:BN$113,22,0)</f>
        <v>134320</v>
      </c>
      <c r="P12" s="18">
        <f>VLOOKUP(B12,'Data BNF'!B$11:BN$113,23,0)</f>
        <v>428120</v>
      </c>
      <c r="Q12" s="17">
        <f>VLOOKUP(B12,'Data BNF'!B$11:BN$113,21,0)</f>
        <v>198592</v>
      </c>
      <c r="R12" s="16" t="str">
        <f t="shared" si="4"/>
        <v>DOWN</v>
      </c>
      <c r="S12" s="20" t="str">
        <f t="shared" si="4"/>
        <v>UP</v>
      </c>
      <c r="T12" s="21" t="str">
        <f t="shared" si="5"/>
        <v>Short Buildup</v>
      </c>
      <c r="U12" s="2"/>
    </row>
    <row r="13" spans="1:21" x14ac:dyDescent="0.5">
      <c r="A13" s="56" t="str">
        <f t="shared" si="0"/>
        <v>CE22400</v>
      </c>
      <c r="B13" s="56" t="str">
        <f t="shared" si="1"/>
        <v>PE22400</v>
      </c>
      <c r="C13" s="2"/>
      <c r="D13" s="14" t="str">
        <f t="shared" si="2"/>
        <v>Short Buildup</v>
      </c>
      <c r="E13" s="15" t="str">
        <f t="shared" si="3"/>
        <v>UP</v>
      </c>
      <c r="F13" s="16" t="str">
        <f t="shared" si="3"/>
        <v>DOWN</v>
      </c>
      <c r="G13" s="17">
        <f>VLOOKUP(A13,'Data BNF'!A$11:AZ$113,6,0)</f>
        <v>10011</v>
      </c>
      <c r="H13" s="18">
        <f>VLOOKUP(A13,'Data BNF'!A$11:AZ$113,4,0)</f>
        <v>69600</v>
      </c>
      <c r="I13" s="64">
        <f>VLOOKUP(A13,'Data BNF'!A$11:AZ$113,5,0)</f>
        <v>43440</v>
      </c>
      <c r="J13" s="16">
        <f>VLOOKUP(A13,'Data BNF'!A$11:AZ$113,9,0)</f>
        <v>-66.400000000000006</v>
      </c>
      <c r="K13" s="16">
        <f>VLOOKUP(A13,'Data BNF'!A$11:AZ$113,8,0)</f>
        <v>156.9</v>
      </c>
      <c r="L13" s="19">
        <f>L14-100</f>
        <v>22400</v>
      </c>
      <c r="M13" s="16">
        <f>VLOOKUP(B13,'Data BNF'!B$11:BN$113,19,0)</f>
        <v>29</v>
      </c>
      <c r="N13" s="16">
        <f>VLOOKUP(B13,'Data BNF'!B$11:BN$113,18,0)</f>
        <v>-30.35</v>
      </c>
      <c r="O13" s="64">
        <f>VLOOKUP(B13,'Data BNF'!B$11:BN$113,22,0)</f>
        <v>6760</v>
      </c>
      <c r="P13" s="18">
        <f>VLOOKUP(B13,'Data BNF'!B$11:BN$113,23,0)</f>
        <v>374960</v>
      </c>
      <c r="Q13" s="17">
        <f>VLOOKUP(B13,'Data BNF'!B$11:BN$113,21,0)</f>
        <v>214419</v>
      </c>
      <c r="R13" s="16" t="str">
        <f t="shared" si="4"/>
        <v>DOWN</v>
      </c>
      <c r="S13" s="20" t="str">
        <f t="shared" si="4"/>
        <v>UP</v>
      </c>
      <c r="T13" s="21" t="str">
        <f t="shared" si="5"/>
        <v>Short Buildup</v>
      </c>
      <c r="U13" s="2"/>
    </row>
    <row r="14" spans="1:21" ht="15.7" x14ac:dyDescent="0.5">
      <c r="A14" s="56" t="str">
        <f t="shared" si="0"/>
        <v>CE22500</v>
      </c>
      <c r="B14" s="56" t="str">
        <f t="shared" si="1"/>
        <v>PE22500</v>
      </c>
      <c r="C14" s="2"/>
      <c r="D14" s="14" t="str">
        <f t="shared" si="2"/>
        <v>Short Buildup</v>
      </c>
      <c r="E14" s="15" t="str">
        <f t="shared" si="3"/>
        <v>UP</v>
      </c>
      <c r="F14" s="16" t="str">
        <f t="shared" si="3"/>
        <v>DOWN</v>
      </c>
      <c r="G14" s="17">
        <f>VLOOKUP(A14,'Data BNF'!A$11:AZ$113,6,0)</f>
        <v>99310</v>
      </c>
      <c r="H14" s="18">
        <f>VLOOKUP(A14,'Data BNF'!A$11:AZ$113,4,0)</f>
        <v>644120</v>
      </c>
      <c r="I14" s="64">
        <f>VLOOKUP(A14,'Data BNF'!A$11:AZ$113,5,0)</f>
        <v>339840</v>
      </c>
      <c r="J14" s="16">
        <f>VLOOKUP(A14,'Data BNF'!A$11:AZ$113,9,0)</f>
        <v>-63.4</v>
      </c>
      <c r="K14" s="16">
        <f>VLOOKUP(A14,'Data BNF'!A$11:AZ$113,8,0)</f>
        <v>92.4</v>
      </c>
      <c r="L14" s="22">
        <f>'Data BNF'!A5</f>
        <v>22500</v>
      </c>
      <c r="M14" s="16">
        <f>VLOOKUP(B14,'Data BNF'!B$11:BN$113,19,0)</f>
        <v>57.05</v>
      </c>
      <c r="N14" s="16">
        <f>VLOOKUP(B14,'Data BNF'!B$11:BN$113,18,0)</f>
        <v>-32</v>
      </c>
      <c r="O14" s="64">
        <f>VLOOKUP(B14,'Data BNF'!B$11:BN$113,22,0)</f>
        <v>1960</v>
      </c>
      <c r="P14" s="18">
        <f>VLOOKUP(B14,'Data BNF'!B$11:BN$113,23,0)</f>
        <v>967840</v>
      </c>
      <c r="Q14" s="17">
        <f>VLOOKUP(B14,'Data BNF'!B$11:BN$113,21,0)</f>
        <v>267640</v>
      </c>
      <c r="R14" s="16" t="str">
        <f t="shared" si="4"/>
        <v>DOWN</v>
      </c>
      <c r="S14" s="20" t="str">
        <f t="shared" si="4"/>
        <v>UP</v>
      </c>
      <c r="T14" s="21" t="str">
        <f t="shared" si="5"/>
        <v>Short Buildup</v>
      </c>
      <c r="U14" s="2"/>
    </row>
    <row r="15" spans="1:21" x14ac:dyDescent="0.5">
      <c r="A15" s="56" t="str">
        <f t="shared" si="0"/>
        <v>CE22600</v>
      </c>
      <c r="B15" s="56" t="str">
        <f t="shared" si="1"/>
        <v>PE22600</v>
      </c>
      <c r="C15" s="2"/>
      <c r="D15" s="14" t="str">
        <f t="shared" si="2"/>
        <v>Short Buildup</v>
      </c>
      <c r="E15" s="15" t="str">
        <f t="shared" si="3"/>
        <v>UP</v>
      </c>
      <c r="F15" s="16" t="str">
        <f t="shared" si="3"/>
        <v>DOWN</v>
      </c>
      <c r="G15" s="17">
        <f>VLOOKUP(A15,'Data BNF'!A$11:AZ$113,6,0)</f>
        <v>232727</v>
      </c>
      <c r="H15" s="18">
        <f>VLOOKUP(A15,'Data BNF'!A$11:AZ$113,4,0)</f>
        <v>494320</v>
      </c>
      <c r="I15" s="64">
        <f>VLOOKUP(A15,'Data BNF'!A$11:AZ$113,5,0)</f>
        <v>24280</v>
      </c>
      <c r="J15" s="16">
        <f>VLOOKUP(A15,'Data BNF'!A$11:AZ$113,9,0)</f>
        <v>-54.05</v>
      </c>
      <c r="K15" s="16">
        <f>VLOOKUP(A15,'Data BNF'!A$11:AZ$113,8,0)</f>
        <v>45.7</v>
      </c>
      <c r="L15" s="19">
        <f t="shared" ref="L15:L21" si="6">L14+100</f>
        <v>22600</v>
      </c>
      <c r="M15" s="16">
        <f>VLOOKUP(B15,'Data BNF'!B$11:BN$113,19,0)</f>
        <v>104</v>
      </c>
      <c r="N15" s="16">
        <f>VLOOKUP(B15,'Data BNF'!B$11:BN$113,18,0)</f>
        <v>-24.25</v>
      </c>
      <c r="O15" s="64">
        <f>VLOOKUP(B15,'Data BNF'!B$11:BN$113,22,0)</f>
        <v>-82720</v>
      </c>
      <c r="P15" s="18">
        <f>VLOOKUP(B15,'Data BNF'!B$11:BN$113,23,0)</f>
        <v>268000</v>
      </c>
      <c r="Q15" s="17">
        <f>VLOOKUP(B15,'Data BNF'!B$11:BN$113,21,0)</f>
        <v>166186</v>
      </c>
      <c r="R15" s="16" t="str">
        <f t="shared" si="4"/>
        <v>DOWN</v>
      </c>
      <c r="S15" s="20" t="str">
        <f t="shared" si="4"/>
        <v>DOWN</v>
      </c>
      <c r="T15" s="21" t="str">
        <f t="shared" si="5"/>
        <v>Long Liquidation</v>
      </c>
      <c r="U15" s="2"/>
    </row>
    <row r="16" spans="1:21" x14ac:dyDescent="0.5">
      <c r="A16" s="56" t="str">
        <f t="shared" si="0"/>
        <v>CE22700</v>
      </c>
      <c r="B16" s="56" t="str">
        <f t="shared" si="1"/>
        <v>PE22700</v>
      </c>
      <c r="C16" s="2"/>
      <c r="D16" s="14" t="str">
        <f t="shared" si="2"/>
        <v>Short Buildup</v>
      </c>
      <c r="E16" s="15" t="str">
        <f t="shared" si="3"/>
        <v>UP</v>
      </c>
      <c r="F16" s="16" t="str">
        <f t="shared" si="3"/>
        <v>DOWN</v>
      </c>
      <c r="G16" s="17">
        <f>VLOOKUP(A16,'Data BNF'!A$11:AZ$113,6,0)</f>
        <v>271478</v>
      </c>
      <c r="H16" s="18">
        <f>VLOOKUP(A16,'Data BNF'!A$11:AZ$113,4,0)</f>
        <v>621480</v>
      </c>
      <c r="I16" s="64">
        <f>VLOOKUP(A16,'Data BNF'!A$11:AZ$113,5,0)</f>
        <v>164360</v>
      </c>
      <c r="J16" s="16">
        <f>VLOOKUP(A16,'Data BNF'!A$11:AZ$113,9,0)</f>
        <v>-44.9</v>
      </c>
      <c r="K16" s="16">
        <f>VLOOKUP(A16,'Data BNF'!A$11:AZ$113,8,0)</f>
        <v>17.5</v>
      </c>
      <c r="L16" s="19">
        <f t="shared" si="6"/>
        <v>22700</v>
      </c>
      <c r="M16" s="16">
        <f>VLOOKUP(B16,'Data BNF'!B$11:BN$113,19,0)</f>
        <v>166</v>
      </c>
      <c r="N16" s="16">
        <f>VLOOKUP(B16,'Data BNF'!B$11:BN$113,18,0)</f>
        <v>-15.8</v>
      </c>
      <c r="O16" s="64">
        <f>VLOOKUP(B16,'Data BNF'!B$11:BN$113,22,0)</f>
        <v>-61960</v>
      </c>
      <c r="P16" s="18">
        <f>VLOOKUP(B16,'Data BNF'!B$11:BN$113,23,0)</f>
        <v>170720</v>
      </c>
      <c r="Q16" s="17">
        <f>VLOOKUP(B16,'Data BNF'!B$11:BN$113,21,0)</f>
        <v>46869</v>
      </c>
      <c r="R16" s="16" t="str">
        <f t="shared" si="4"/>
        <v>DOWN</v>
      </c>
      <c r="S16" s="20" t="str">
        <f t="shared" si="4"/>
        <v>DOWN</v>
      </c>
      <c r="T16" s="21" t="str">
        <f t="shared" si="5"/>
        <v>Long Liquidation</v>
      </c>
      <c r="U16" s="2"/>
    </row>
    <row r="17" spans="1:21" x14ac:dyDescent="0.5">
      <c r="A17" s="56" t="str">
        <f t="shared" si="0"/>
        <v>CE22800</v>
      </c>
      <c r="B17" s="56" t="str">
        <f t="shared" si="1"/>
        <v>PE22800</v>
      </c>
      <c r="C17" s="2"/>
      <c r="D17" s="14" t="str">
        <f t="shared" si="2"/>
        <v>Short Buildup</v>
      </c>
      <c r="E17" s="15" t="str">
        <f t="shared" si="3"/>
        <v>UP</v>
      </c>
      <c r="F17" s="16" t="str">
        <f t="shared" si="3"/>
        <v>DOWN</v>
      </c>
      <c r="G17" s="17">
        <f>VLOOKUP(A17,'Data BNF'!A$11:AZ$113,6,0)</f>
        <v>212067</v>
      </c>
      <c r="H17" s="18">
        <f>VLOOKUP(A17,'Data BNF'!A$11:AZ$113,4,0)</f>
        <v>762600</v>
      </c>
      <c r="I17" s="64">
        <f>VLOOKUP(A17,'Data BNF'!A$11:AZ$113,5,0)</f>
        <v>144200</v>
      </c>
      <c r="J17" s="16">
        <f>VLOOKUP(A17,'Data BNF'!A$11:AZ$113,9,0)</f>
        <v>-29.95</v>
      </c>
      <c r="K17" s="16">
        <f>VLOOKUP(A17,'Data BNF'!A$11:AZ$113,8,0)</f>
        <v>6.35</v>
      </c>
      <c r="L17" s="19">
        <f t="shared" si="6"/>
        <v>22800</v>
      </c>
      <c r="M17" s="16">
        <f>VLOOKUP(B17,'Data BNF'!B$11:BN$113,19,0)</f>
        <v>252</v>
      </c>
      <c r="N17" s="16">
        <f>VLOOKUP(B17,'Data BNF'!B$11:BN$113,18,0)</f>
        <v>-0.55000000000000004</v>
      </c>
      <c r="O17" s="64">
        <f>VLOOKUP(B17,'Data BNF'!B$11:BN$113,22,0)</f>
        <v>-47440</v>
      </c>
      <c r="P17" s="18">
        <f>VLOOKUP(B17,'Data BNF'!B$11:BN$113,23,0)</f>
        <v>103040</v>
      </c>
      <c r="Q17" s="17">
        <f>VLOOKUP(B17,'Data BNF'!B$11:BN$113,21,0)</f>
        <v>8470</v>
      </c>
      <c r="R17" s="16" t="str">
        <f t="shared" si="4"/>
        <v>DOWN</v>
      </c>
      <c r="S17" s="20" t="str">
        <f t="shared" si="4"/>
        <v>DOWN</v>
      </c>
      <c r="T17" s="21" t="str">
        <f t="shared" si="5"/>
        <v>Long Liquidation</v>
      </c>
      <c r="U17" s="2"/>
    </row>
    <row r="18" spans="1:21" x14ac:dyDescent="0.5">
      <c r="A18" s="56" t="str">
        <f t="shared" si="0"/>
        <v>CE22900</v>
      </c>
      <c r="B18" s="56" t="str">
        <f t="shared" si="1"/>
        <v>PE22900</v>
      </c>
      <c r="C18" s="2"/>
      <c r="D18" s="14" t="str">
        <f t="shared" si="2"/>
        <v>Long Liquidation</v>
      </c>
      <c r="E18" s="15" t="str">
        <f t="shared" si="3"/>
        <v>DOWN</v>
      </c>
      <c r="F18" s="16" t="str">
        <f t="shared" si="3"/>
        <v>DOWN</v>
      </c>
      <c r="G18" s="17">
        <f>VLOOKUP(A18,'Data BNF'!A$11:AZ$113,6,0)</f>
        <v>145319</v>
      </c>
      <c r="H18" s="18">
        <f>VLOOKUP(A18,'Data BNF'!A$11:AZ$113,4,0)</f>
        <v>583080</v>
      </c>
      <c r="I18" s="64">
        <f>VLOOKUP(A18,'Data BNF'!A$11:AZ$113,5,0)</f>
        <v>-185040</v>
      </c>
      <c r="J18" s="16">
        <f>VLOOKUP(A18,'Data BNF'!A$11:AZ$113,9,0)</f>
        <v>-15.85</v>
      </c>
      <c r="K18" s="16">
        <f>VLOOKUP(A18,'Data BNF'!A$11:AZ$113,8,0)</f>
        <v>3.45</v>
      </c>
      <c r="L18" s="19">
        <f t="shared" si="6"/>
        <v>22900</v>
      </c>
      <c r="M18" s="16">
        <f>VLOOKUP(B18,'Data BNF'!B$11:BN$113,19,0)</f>
        <v>344.1</v>
      </c>
      <c r="N18" s="16">
        <f>VLOOKUP(B18,'Data BNF'!B$11:BN$113,18,0)</f>
        <v>8.4</v>
      </c>
      <c r="O18" s="64">
        <f>VLOOKUP(B18,'Data BNF'!B$11:BN$113,22,0)</f>
        <v>-15720</v>
      </c>
      <c r="P18" s="18">
        <f>VLOOKUP(B18,'Data BNF'!B$11:BN$113,23,0)</f>
        <v>72880</v>
      </c>
      <c r="Q18" s="17">
        <f>VLOOKUP(B18,'Data BNF'!B$11:BN$113,21,0)</f>
        <v>1987</v>
      </c>
      <c r="R18" s="16" t="str">
        <f t="shared" si="4"/>
        <v>UP</v>
      </c>
      <c r="S18" s="20" t="str">
        <f t="shared" si="4"/>
        <v>DOWN</v>
      </c>
      <c r="T18" s="21" t="str">
        <f t="shared" si="5"/>
        <v>Short covering</v>
      </c>
      <c r="U18" s="2"/>
    </row>
    <row r="19" spans="1:21" x14ac:dyDescent="0.5">
      <c r="A19" s="56" t="str">
        <f t="shared" si="0"/>
        <v>CE23000</v>
      </c>
      <c r="B19" s="56" t="str">
        <f t="shared" si="1"/>
        <v>PE23000</v>
      </c>
      <c r="C19" s="2"/>
      <c r="D19" s="14" t="str">
        <f t="shared" si="2"/>
        <v>Long Liquidation</v>
      </c>
      <c r="E19" s="15" t="str">
        <f t="shared" si="3"/>
        <v>DOWN</v>
      </c>
      <c r="F19" s="16" t="str">
        <f t="shared" si="3"/>
        <v>DOWN</v>
      </c>
      <c r="G19" s="17">
        <f>VLOOKUP(A19,'Data BNF'!A$11:AZ$113,6,0)</f>
        <v>130317</v>
      </c>
      <c r="H19" s="18">
        <f>VLOOKUP(A19,'Data BNF'!A$11:AZ$113,4,0)</f>
        <v>1081880</v>
      </c>
      <c r="I19" s="64">
        <f>VLOOKUP(A19,'Data BNF'!A$11:AZ$113,5,0)</f>
        <v>-143720</v>
      </c>
      <c r="J19" s="16">
        <f>VLOOKUP(A19,'Data BNF'!A$11:AZ$113,9,0)</f>
        <v>-8.9499999999999993</v>
      </c>
      <c r="K19" s="16">
        <f>VLOOKUP(A19,'Data BNF'!A$11:AZ$113,8,0)</f>
        <v>2.0499999999999998</v>
      </c>
      <c r="L19" s="19">
        <f t="shared" si="6"/>
        <v>23000</v>
      </c>
      <c r="M19" s="16">
        <f>VLOOKUP(B19,'Data BNF'!B$11:BN$113,19,0)</f>
        <v>438</v>
      </c>
      <c r="N19" s="16">
        <f>VLOOKUP(B19,'Data BNF'!B$11:BN$113,18,0)</f>
        <v>19.649999999999999</v>
      </c>
      <c r="O19" s="64">
        <f>VLOOKUP(B19,'Data BNF'!B$11:BN$113,22,0)</f>
        <v>-38200</v>
      </c>
      <c r="P19" s="18">
        <f>VLOOKUP(B19,'Data BNF'!B$11:BN$113,23,0)</f>
        <v>106880</v>
      </c>
      <c r="Q19" s="17">
        <f>VLOOKUP(B19,'Data BNF'!B$11:BN$113,21,0)</f>
        <v>3793</v>
      </c>
      <c r="R19" s="16" t="str">
        <f t="shared" si="4"/>
        <v>UP</v>
      </c>
      <c r="S19" s="20" t="str">
        <f t="shared" si="4"/>
        <v>DOWN</v>
      </c>
      <c r="T19" s="21" t="str">
        <f t="shared" si="5"/>
        <v>Short covering</v>
      </c>
      <c r="U19" s="2"/>
    </row>
    <row r="20" spans="1:21" x14ac:dyDescent="0.5">
      <c r="A20" s="56" t="str">
        <f t="shared" si="0"/>
        <v>CE23100</v>
      </c>
      <c r="B20" s="56" t="str">
        <f t="shared" si="1"/>
        <v>PE23100</v>
      </c>
      <c r="C20" s="2"/>
      <c r="D20" s="14" t="str">
        <f t="shared" si="2"/>
        <v>Long Liquidation</v>
      </c>
      <c r="E20" s="15" t="str">
        <f t="shared" si="3"/>
        <v>DOWN</v>
      </c>
      <c r="F20" s="16" t="str">
        <f t="shared" si="3"/>
        <v>DOWN</v>
      </c>
      <c r="G20" s="17">
        <f>VLOOKUP(A20,'Data BNF'!A$11:AZ$113,6,0)</f>
        <v>41873</v>
      </c>
      <c r="H20" s="18">
        <f>VLOOKUP(A20,'Data BNF'!A$11:AZ$113,4,0)</f>
        <v>274520</v>
      </c>
      <c r="I20" s="64">
        <f>VLOOKUP(A20,'Data BNF'!A$11:AZ$113,5,0)</f>
        <v>-140040</v>
      </c>
      <c r="J20" s="16">
        <f>VLOOKUP(A20,'Data BNF'!A$11:AZ$113,9,0)</f>
        <v>-4.5</v>
      </c>
      <c r="K20" s="16">
        <f>VLOOKUP(A20,'Data BNF'!A$11:AZ$113,8,0)</f>
        <v>1.6</v>
      </c>
      <c r="L20" s="19">
        <f t="shared" si="6"/>
        <v>23100</v>
      </c>
      <c r="M20" s="16">
        <f>VLOOKUP(B20,'Data BNF'!B$11:BN$113,19,0)</f>
        <v>558.45000000000005</v>
      </c>
      <c r="N20" s="16">
        <f>VLOOKUP(B20,'Data BNF'!B$11:BN$113,18,0)</f>
        <v>31.6</v>
      </c>
      <c r="O20" s="64">
        <f>VLOOKUP(B20,'Data BNF'!B$11:BN$113,22,0)</f>
        <v>-1800</v>
      </c>
      <c r="P20" s="18">
        <f>VLOOKUP(B20,'Data BNF'!B$11:BN$113,23,0)</f>
        <v>4360</v>
      </c>
      <c r="Q20" s="17">
        <f>VLOOKUP(B20,'Data BNF'!B$11:BN$113,21,0)</f>
        <v>235</v>
      </c>
      <c r="R20" s="16" t="str">
        <f t="shared" si="4"/>
        <v>UP</v>
      </c>
      <c r="S20" s="20" t="str">
        <f t="shared" si="4"/>
        <v>DOWN</v>
      </c>
      <c r="T20" s="21" t="str">
        <f t="shared" si="5"/>
        <v>Short covering</v>
      </c>
      <c r="U20" s="2"/>
    </row>
    <row r="21" spans="1:21" x14ac:dyDescent="0.5">
      <c r="A21" s="56" t="str">
        <f t="shared" si="0"/>
        <v>CE23200</v>
      </c>
      <c r="B21" s="56" t="str">
        <f t="shared" si="1"/>
        <v>PE23200</v>
      </c>
      <c r="C21" s="2"/>
      <c r="D21" s="14" t="str">
        <f>IF(AND(J21&lt;0,I21&lt;0),"Long Liquidation",IF(AND(J21&lt;0,I21&gt;0),"Short Buildup",IF(AND(J21&gt;0,I21&gt;0),"Long Buildup",IF(AND(J21&gt;0,I21&lt;0),"Short covering"))))</f>
        <v>Long Liquidation</v>
      </c>
      <c r="E21" s="15" t="str">
        <f>IF(I21&gt;0,"UP","DOWN")</f>
        <v>DOWN</v>
      </c>
      <c r="F21" s="16" t="str">
        <f>IF(J21&gt;0,"UP","DOWN")</f>
        <v>DOWN</v>
      </c>
      <c r="G21" s="17">
        <f>VLOOKUP(A21,'Data BNF'!A$11:AZ$113,6,0)</f>
        <v>17590</v>
      </c>
      <c r="H21" s="18">
        <f>VLOOKUP(A21,'Data BNF'!A$11:AZ$113,4,0)</f>
        <v>311360</v>
      </c>
      <c r="I21" s="64">
        <f>VLOOKUP(A21,'Data BNF'!A$11:AZ$113,5,0)</f>
        <v>-83320</v>
      </c>
      <c r="J21" s="16">
        <f>VLOOKUP(A21,'Data BNF'!A$11:AZ$113,9,0)</f>
        <v>-2.7</v>
      </c>
      <c r="K21" s="16">
        <f>VLOOKUP(A21,'Data BNF'!A$11:AZ$113,8,0)</f>
        <v>1</v>
      </c>
      <c r="L21" s="19">
        <f t="shared" si="6"/>
        <v>23200</v>
      </c>
      <c r="M21" s="16">
        <f>VLOOKUP(B21,'Data BNF'!B$11:BN$113,19,0)</f>
        <v>657.4</v>
      </c>
      <c r="N21" s="16">
        <f>VLOOKUP(B21,'Data BNF'!B$11:BN$113,18,0)</f>
        <v>33.65</v>
      </c>
      <c r="O21" s="64">
        <f>VLOOKUP(B21,'Data BNF'!B$11:BN$113,22,0)</f>
        <v>-80</v>
      </c>
      <c r="P21" s="18">
        <f>VLOOKUP(B21,'Data BNF'!B$11:BN$113,23,0)</f>
        <v>1800</v>
      </c>
      <c r="Q21" s="17">
        <f>VLOOKUP(B21,'Data BNF'!B$11:BN$113,21,0)</f>
        <v>12</v>
      </c>
      <c r="R21" s="16" t="str">
        <f t="shared" si="4"/>
        <v>UP</v>
      </c>
      <c r="S21" s="20" t="str">
        <f t="shared" si="4"/>
        <v>DOWN</v>
      </c>
      <c r="T21" s="21" t="str">
        <f t="shared" si="5"/>
        <v>Short covering</v>
      </c>
      <c r="U21" s="2"/>
    </row>
    <row r="22" spans="1:21" x14ac:dyDescent="0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8" customHeight="1" x14ac:dyDescent="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8" customHeight="1" x14ac:dyDescent="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8" customHeight="1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39.75" customHeight="1" x14ac:dyDescent="0.6">
      <c r="A75" s="2"/>
      <c r="B75" s="2"/>
      <c r="C75" s="2"/>
      <c r="D75" s="2"/>
      <c r="E75" s="84" t="s">
        <v>0</v>
      </c>
      <c r="F75" s="84"/>
      <c r="G75" s="84"/>
      <c r="H75" s="84"/>
      <c r="I75" s="2"/>
      <c r="J75" s="2"/>
      <c r="K75" s="2"/>
      <c r="L75" s="2"/>
      <c r="M75" s="2"/>
      <c r="N75" s="3"/>
      <c r="O75" s="84" t="s">
        <v>1</v>
      </c>
      <c r="P75" s="84"/>
      <c r="Q75" s="84"/>
      <c r="R75" s="84"/>
      <c r="S75" s="2"/>
      <c r="T75" s="2"/>
      <c r="U75" s="2"/>
    </row>
    <row r="76" spans="1:21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2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2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2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2" x14ac:dyDescent="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2" x14ac:dyDescent="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2" x14ac:dyDescent="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2" x14ac:dyDescent="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2" x14ac:dyDescent="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x14ac:dyDescent="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2" x14ac:dyDescent="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2" ht="17.7" x14ac:dyDescent="0.55000000000000004">
      <c r="A91" s="2"/>
      <c r="B91" s="2"/>
      <c r="C91" s="2"/>
      <c r="D91" s="23"/>
      <c r="E91" s="23"/>
      <c r="F91" s="24"/>
      <c r="G91" s="24"/>
      <c r="H91" s="25"/>
      <c r="I91" s="24"/>
      <c r="J91" s="24"/>
      <c r="K91" s="26"/>
      <c r="L91" s="26"/>
      <c r="M91" s="27"/>
      <c r="N91" s="28"/>
      <c r="O91" s="29"/>
      <c r="P91" s="30"/>
      <c r="Q91" s="30"/>
      <c r="R91" s="30"/>
      <c r="S91" s="2"/>
      <c r="T91" s="2"/>
      <c r="U91" s="2"/>
    </row>
    <row r="92" spans="1:22" ht="17.7" x14ac:dyDescent="0.55000000000000004">
      <c r="A92" s="2"/>
      <c r="B92" s="2"/>
      <c r="C92" s="2"/>
      <c r="D92" s="23"/>
      <c r="E92" s="31" t="s">
        <v>21</v>
      </c>
      <c r="F92" s="32"/>
      <c r="G92" s="32"/>
      <c r="H92" s="33"/>
      <c r="I92" s="32"/>
      <c r="J92" s="32"/>
      <c r="K92" s="34"/>
      <c r="L92" s="34"/>
      <c r="M92" s="35" t="s">
        <v>22</v>
      </c>
      <c r="N92" s="36"/>
      <c r="O92" s="37"/>
      <c r="P92" s="38"/>
      <c r="Q92" s="38"/>
      <c r="R92" s="39"/>
      <c r="S92" s="2"/>
      <c r="T92" s="2"/>
      <c r="U92" s="2"/>
    </row>
    <row r="93" spans="1:22" ht="17.7" x14ac:dyDescent="0.55000000000000004">
      <c r="A93" s="2"/>
      <c r="B93" s="2"/>
      <c r="C93" s="2"/>
      <c r="D93" s="23"/>
      <c r="E93" s="40"/>
      <c r="F93" s="24"/>
      <c r="G93" s="24"/>
      <c r="H93" s="25"/>
      <c r="I93" s="24"/>
      <c r="J93" s="24"/>
      <c r="K93" s="26"/>
      <c r="L93" s="26"/>
      <c r="M93" s="41"/>
      <c r="N93" s="28"/>
      <c r="O93" s="29"/>
      <c r="P93" s="30"/>
      <c r="Q93" s="30"/>
      <c r="R93" s="30"/>
      <c r="S93" s="2"/>
      <c r="T93" s="2"/>
      <c r="U93" s="2"/>
    </row>
    <row r="94" spans="1:22" s="63" customFormat="1" x14ac:dyDescent="0.5">
      <c r="A94" s="58"/>
      <c r="B94" s="58"/>
      <c r="C94" s="58"/>
      <c r="D94" s="59"/>
      <c r="E94" s="60" t="s">
        <v>23</v>
      </c>
      <c r="F94" s="60">
        <f>L7</f>
        <v>21800</v>
      </c>
      <c r="G94" s="60">
        <f>L8</f>
        <v>21900</v>
      </c>
      <c r="H94" s="60">
        <f>L9</f>
        <v>22000</v>
      </c>
      <c r="I94" s="60">
        <f>L10</f>
        <v>22100</v>
      </c>
      <c r="J94" s="61">
        <f>L11</f>
        <v>22200</v>
      </c>
      <c r="K94" s="60">
        <f>L12</f>
        <v>22300</v>
      </c>
      <c r="L94" s="60">
        <f>L13</f>
        <v>22400</v>
      </c>
      <c r="M94" s="61">
        <f>L14</f>
        <v>22500</v>
      </c>
      <c r="N94" s="60">
        <f>L15</f>
        <v>22600</v>
      </c>
      <c r="O94" s="62">
        <f>L16</f>
        <v>22700</v>
      </c>
      <c r="P94" s="60">
        <f>L17</f>
        <v>22800</v>
      </c>
      <c r="Q94" s="61">
        <f>L18</f>
        <v>22900</v>
      </c>
      <c r="R94" s="60">
        <f>L19</f>
        <v>23000</v>
      </c>
      <c r="S94" s="62">
        <f>L20</f>
        <v>23100</v>
      </c>
      <c r="T94" s="83"/>
      <c r="U94" s="58"/>
      <c r="V94"/>
    </row>
    <row r="95" spans="1:22" ht="17.7" x14ac:dyDescent="0.55000000000000004">
      <c r="A95" s="2"/>
      <c r="B95" s="2"/>
      <c r="C95" s="2"/>
      <c r="D95" s="23"/>
      <c r="E95" s="42" t="s">
        <v>24</v>
      </c>
      <c r="F95" s="43" t="str">
        <f>IF(I7&lt;G7,"BUY","SELL")</f>
        <v>BUY</v>
      </c>
      <c r="G95" s="43" t="str">
        <f>IF(I8&lt;G8,"BUY","SELL")</f>
        <v>BUY</v>
      </c>
      <c r="H95" s="43" t="str">
        <f>IF(I9&lt;G9,"BUY","SELL")</f>
        <v>BUY</v>
      </c>
      <c r="I95" s="43" t="str">
        <f>IF(I10&lt;G10,"BUY","SELL")</f>
        <v>BUY</v>
      </c>
      <c r="J95" s="44" t="str">
        <f>IF(I11&lt;G11,"BUY","SELL")</f>
        <v>BUY</v>
      </c>
      <c r="K95" s="43" t="str">
        <f>IF(I12&lt;G12,"BUY","SELL")</f>
        <v>SELL</v>
      </c>
      <c r="L95" s="43" t="str">
        <f>IF(I13&lt;G13,"BUY","SELL")</f>
        <v>SELL</v>
      </c>
      <c r="M95" s="45" t="str">
        <f>IF(I14&lt;G14,"BUY","SELL")</f>
        <v>SELL</v>
      </c>
      <c r="N95" s="46" t="str">
        <f>IF(I15&lt;G15,"BUY","SELL")</f>
        <v>BUY</v>
      </c>
      <c r="O95" s="47" t="str">
        <f>IF(I16&lt;G16,"BUY","SELL")</f>
        <v>BUY</v>
      </c>
      <c r="P95" s="43" t="str">
        <f>IF(I17&lt;G17,"BUY","SELL")</f>
        <v>BUY</v>
      </c>
      <c r="Q95" s="45" t="str">
        <f>IF(I18&lt;G18,"BUY","SELL")</f>
        <v>BUY</v>
      </c>
      <c r="R95" s="46" t="str">
        <f>IF(I19&lt;G19,"BUY","SELL")</f>
        <v>BUY</v>
      </c>
      <c r="S95" s="47" t="str">
        <f>IF(I20&lt;G20,"BUY","SELL")</f>
        <v>BUY</v>
      </c>
      <c r="T95" s="83"/>
      <c r="U95" s="2"/>
    </row>
    <row r="96" spans="1:22" ht="17.7" x14ac:dyDescent="0.5">
      <c r="A96" s="2"/>
      <c r="B96" s="2"/>
      <c r="C96" s="2"/>
      <c r="D96" s="27"/>
      <c r="E96" s="49" t="s">
        <v>25</v>
      </c>
      <c r="F96" s="50" t="str">
        <f>IF(O7&lt;Q7,"BUY","SELL")</f>
        <v>BUY</v>
      </c>
      <c r="G96" s="50" t="str">
        <f>IF(O8&lt;Q8,"BUY","SELL")</f>
        <v>BUY</v>
      </c>
      <c r="H96" s="50" t="str">
        <f>IF(O9&lt;Q9,"BUY","SELL")</f>
        <v>BUY</v>
      </c>
      <c r="I96" s="50" t="str">
        <f>IF(O10&lt;Q10,"BUY","SELL")</f>
        <v>BUY</v>
      </c>
      <c r="J96" s="51" t="str">
        <f>IF(O11&lt;Q11,"BUY","SELL")</f>
        <v>SELL</v>
      </c>
      <c r="K96" s="50" t="str">
        <f>IF(O12&lt;Q12,"BUY","SELL")</f>
        <v>BUY</v>
      </c>
      <c r="L96" s="50" t="str">
        <f>IF(O13&lt;Q13,"BUY","SELL")</f>
        <v>BUY</v>
      </c>
      <c r="M96" s="52" t="str">
        <f>IF(O14&lt;Q14,"BUY","SELL")</f>
        <v>BUY</v>
      </c>
      <c r="N96" s="53" t="str">
        <f>IF(O15&lt;Q15,"BUY","SELL")</f>
        <v>BUY</v>
      </c>
      <c r="O96" s="54" t="str">
        <f>IF(O16&lt;Q16,"BUY","SELL")</f>
        <v>BUY</v>
      </c>
      <c r="P96" s="50" t="str">
        <f>IF(O17&lt;Q17,"BUY","SELL")</f>
        <v>BUY</v>
      </c>
      <c r="Q96" s="54" t="str">
        <f>IF(O18&lt;Q18,"BUY","SELL")</f>
        <v>BUY</v>
      </c>
      <c r="R96" s="53" t="str">
        <f>IF(O19&lt;Q19,"BUY","SELL")</f>
        <v>BUY</v>
      </c>
      <c r="S96" s="53" t="str">
        <f>IF(O20&lt;Q20,"BUY","SELL")</f>
        <v>BUY</v>
      </c>
      <c r="T96" s="55"/>
      <c r="U96" s="2"/>
    </row>
    <row r="97" spans="1:21" x14ac:dyDescent="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8"/>
      <c r="S97" s="2"/>
      <c r="T97" s="2"/>
      <c r="U97" s="2"/>
    </row>
    <row r="98" spans="1:21" x14ac:dyDescent="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</sheetData>
  <mergeCells count="6">
    <mergeCell ref="T94:T95"/>
    <mergeCell ref="Q1:S1"/>
    <mergeCell ref="D4:K4"/>
    <mergeCell ref="M4:T4"/>
    <mergeCell ref="E75:H75"/>
    <mergeCell ref="O75:R75"/>
  </mergeCells>
  <conditionalFormatting sqref="T6:T21 D6:D21">
    <cfRule type="containsText" dxfId="16" priority="5" operator="containsText" text="Short Buildup">
      <formula>NOT(ISERROR(SEARCH("Short Buildup",D6)))</formula>
    </cfRule>
    <cfRule type="containsText" dxfId="15" priority="6" operator="containsText" text="Long Liquidation">
      <formula>NOT(ISERROR(SEARCH("Long Liquidation",D6)))</formula>
    </cfRule>
    <cfRule type="containsText" dxfId="14" priority="7" operator="containsText" text="Short covering">
      <formula>NOT(ISERROR(SEARCH("Short covering",D6)))</formula>
    </cfRule>
    <cfRule type="containsText" dxfId="13" priority="8" operator="containsText" text="Long Buildup">
      <formula>NOT(ISERROR(SEARCH("Long Buildup",D6)))</formula>
    </cfRule>
  </conditionalFormatting>
  <conditionalFormatting sqref="R6:S21 E6:F21">
    <cfRule type="containsText" dxfId="12" priority="4" operator="containsText" text="DOWN">
      <formula>NOT(ISERROR(SEARCH("DOWN",E6)))</formula>
    </cfRule>
  </conditionalFormatting>
  <conditionalFormatting sqref="R6:S21 E6:F21">
    <cfRule type="containsText" dxfId="11" priority="3" operator="containsText" text="UP">
      <formula>NOT(ISERROR(SEARCH("UP",E6)))</formula>
    </cfRule>
  </conditionalFormatting>
  <conditionalFormatting sqref="F95:S96">
    <cfRule type="containsText" dxfId="10" priority="1" operator="containsText" text="SELL">
      <formula>NOT(ISERROR(SEARCH("SELL",F95)))</formula>
    </cfRule>
    <cfRule type="containsText" dxfId="9" priority="2" operator="containsText" text="BUY">
      <formula>NOT(ISERROR(SEARCH("BUY",F95)))</formula>
    </cfRule>
  </conditionalFormatting>
  <conditionalFormatting sqref="J6:J21">
    <cfRule type="colorScale" priority="9">
      <colorScale>
        <cfvo type="min"/>
        <cfvo type="max"/>
        <color rgb="FFFFEF9C"/>
        <color rgb="FF63BE7B"/>
      </colorScale>
    </cfRule>
  </conditionalFormatting>
  <conditionalFormatting sqref="N6:N21">
    <cfRule type="colorScale" priority="10">
      <colorScale>
        <cfvo type="min"/>
        <cfvo type="max"/>
        <color rgb="FFFF7128"/>
        <color rgb="FFFFEF9C"/>
      </colorScale>
    </cfRule>
  </conditionalFormatting>
  <conditionalFormatting sqref="Q6:Q21">
    <cfRule type="dataBar" priority="11">
      <dataBar>
        <cfvo type="min"/>
        <cfvo type="max"/>
        <color rgb="FFFF555A"/>
      </dataBar>
    </cfRule>
  </conditionalFormatting>
  <conditionalFormatting sqref="G6:G21">
    <cfRule type="dataBar" priority="12">
      <dataBar>
        <cfvo type="min"/>
        <cfvo type="max"/>
        <color rgb="FFFF555A"/>
      </dataBar>
    </cfRule>
  </conditionalFormatting>
  <conditionalFormatting sqref="H6:H21">
    <cfRule type="top10" dxfId="8" priority="13" rank="1"/>
  </conditionalFormatting>
  <conditionalFormatting sqref="P6:P21">
    <cfRule type="top10" dxfId="7" priority="14" rank="1"/>
  </conditionalFormatting>
  <conditionalFormatting sqref="I6:I21 O6:O21">
    <cfRule type="cellIs" dxfId="6" priority="15" operator="equal">
      <formula>$H$165</formula>
    </cfRule>
  </conditionalFormatting>
  <conditionalFormatting sqref="O6:O21">
    <cfRule type="cellIs" dxfId="5" priority="16" operator="equal">
      <formula>$J$165</formula>
    </cfRule>
  </conditionalFormatting>
  <conditionalFormatting sqref="I6:I21">
    <cfRule type="top10" dxfId="4" priority="17" rank="1"/>
    <cfRule type="cellIs" dxfId="3" priority="18" operator="equal">
      <formula>$H$163</formula>
    </cfRule>
  </conditionalFormatting>
  <conditionalFormatting sqref="I6:I21 O6:O21">
    <cfRule type="cellIs" dxfId="2" priority="19" operator="equal">
      <formula>$F$158</formula>
    </cfRule>
  </conditionalFormatting>
  <conditionalFormatting sqref="O6:O21">
    <cfRule type="top10" dxfId="1" priority="20" rank="1"/>
    <cfRule type="cellIs" dxfId="0" priority="21" operator="equal">
      <formula>$H$163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PAIN Nifty</vt:lpstr>
      <vt:lpstr>PAIN BNF</vt:lpstr>
      <vt:lpstr>Data Nifty</vt:lpstr>
      <vt:lpstr>MAIN OI</vt:lpstr>
      <vt:lpstr>Data BNF</vt:lpstr>
      <vt:lpstr>MAIN OI BNF</vt:lpstr>
      <vt:lpstr>'Data Nifty'!optionKeys.jsp?symbolCode__10006_symbol_NIFTY_symbol_NIFTY_instrument___date___segmentLink_17_symbolCount_2_segmentLink_17</vt:lpstr>
      <vt:lpstr>'Data BNF'!optionKeys.jsp?symbolCode__9999_symbol_BANKNIFTY_symbol_BANKNIFTY_instrument___date___segmentLink_17_symbolCount_2_segmentLink_17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</dc:creator>
  <cp:lastModifiedBy>Snehil Kamal</cp:lastModifiedBy>
  <dcterms:created xsi:type="dcterms:W3CDTF">2015-02-27T14:47:02Z</dcterms:created>
  <dcterms:modified xsi:type="dcterms:W3CDTF">2017-05-24T18:15:37Z</dcterms:modified>
</cp:coreProperties>
</file>